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243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976" i="1"/>
  <c r="D977" s="1"/>
  <c r="D975"/>
  <c r="D974"/>
  <c r="D971"/>
  <c r="D968"/>
  <c r="D965"/>
  <c r="D962"/>
  <c r="D959"/>
  <c r="D956"/>
  <c r="D950" l="1"/>
  <c r="D951" s="1"/>
  <c r="D949"/>
  <c r="D948"/>
  <c r="D945"/>
  <c r="D942"/>
  <c r="D939"/>
  <c r="D936"/>
  <c r="D933"/>
  <c r="D930"/>
  <c r="D924" l="1"/>
  <c r="D923"/>
  <c r="D925" s="1"/>
  <c r="D922"/>
  <c r="D916"/>
  <c r="D913"/>
  <c r="D910"/>
  <c r="D907"/>
  <c r="D904"/>
  <c r="D892"/>
  <c r="D893" s="1"/>
  <c r="D891"/>
  <c r="D889"/>
  <c r="D890" s="1"/>
  <c r="D888"/>
  <c r="D886"/>
  <c r="D887" s="1"/>
  <c r="D885"/>
  <c r="D883"/>
  <c r="D884" s="1"/>
  <c r="D882"/>
  <c r="D880"/>
  <c r="D881" s="1"/>
  <c r="D879"/>
  <c r="D877"/>
  <c r="D898" s="1"/>
  <c r="D899" s="1"/>
  <c r="D876"/>
  <c r="D897" s="1"/>
  <c r="D878" l="1"/>
  <c r="D868" l="1"/>
  <c r="D870" s="1"/>
  <c r="D867"/>
  <c r="D862"/>
  <c r="D864" s="1"/>
  <c r="D859"/>
  <c r="D861" s="1"/>
  <c r="D856"/>
  <c r="D858" s="1"/>
  <c r="D854"/>
  <c r="D872" s="1"/>
  <c r="D853"/>
  <c r="D852"/>
  <c r="D850"/>
  <c r="D871" s="1"/>
  <c r="D873" l="1"/>
  <c r="D855"/>
  <c r="D837" l="1"/>
  <c r="D838" s="1"/>
  <c r="D836"/>
  <c r="D834"/>
  <c r="D846" s="1"/>
  <c r="D833"/>
  <c r="D830"/>
  <c r="D832" s="1"/>
  <c r="D827"/>
  <c r="D829" s="1"/>
  <c r="D824"/>
  <c r="D826" s="1"/>
  <c r="D835" l="1"/>
  <c r="D845"/>
  <c r="D847" s="1"/>
  <c r="D820" l="1"/>
  <c r="D821" s="1"/>
  <c r="D819"/>
  <c r="D818"/>
  <c r="D815"/>
  <c r="D812"/>
  <c r="D809"/>
  <c r="D806"/>
  <c r="D803"/>
  <c r="D800"/>
  <c r="D794"/>
  <c r="D795" s="1"/>
  <c r="D793"/>
  <c r="D792"/>
  <c r="D789"/>
  <c r="D786"/>
  <c r="D783"/>
  <c r="D780"/>
  <c r="D777"/>
  <c r="D774"/>
  <c r="D768" l="1"/>
  <c r="D766"/>
  <c r="D763"/>
  <c r="D758"/>
  <c r="D760" s="1"/>
  <c r="D755"/>
  <c r="D757" s="1"/>
  <c r="D752"/>
  <c r="D754" s="1"/>
  <c r="D749"/>
  <c r="D751" s="1"/>
  <c r="D746"/>
  <c r="D748" s="1"/>
  <c r="D767" l="1"/>
  <c r="D769" s="1"/>
  <c r="D742" l="1"/>
  <c r="D743" s="1"/>
  <c r="D740"/>
  <c r="D738"/>
  <c r="D737"/>
  <c r="D735"/>
  <c r="D734"/>
  <c r="D732"/>
  <c r="D729"/>
  <c r="D731" s="1"/>
  <c r="D726"/>
  <c r="D728" s="1"/>
  <c r="D723"/>
  <c r="D725" s="1"/>
  <c r="D722"/>
  <c r="D720"/>
  <c r="D741" s="1"/>
  <c r="D716" l="1"/>
  <c r="D714"/>
  <c r="D709"/>
  <c r="D711" s="1"/>
  <c r="D706"/>
  <c r="D708" s="1"/>
  <c r="D703"/>
  <c r="D705" s="1"/>
  <c r="D700"/>
  <c r="D702" s="1"/>
  <c r="D697"/>
  <c r="D699" s="1"/>
  <c r="D694"/>
  <c r="D715" s="1"/>
  <c r="D717" l="1"/>
  <c r="D696"/>
  <c r="D690" l="1"/>
  <c r="D691" s="1"/>
  <c r="D689"/>
  <c r="D688"/>
  <c r="D685"/>
  <c r="D682"/>
  <c r="D679"/>
  <c r="D676"/>
  <c r="D673"/>
  <c r="D670"/>
  <c r="D660"/>
  <c r="D662" s="1"/>
  <c r="D658"/>
  <c r="D659" s="1"/>
  <c r="D657"/>
  <c r="D655"/>
  <c r="D656" s="1"/>
  <c r="D654"/>
  <c r="D652"/>
  <c r="D653" s="1"/>
  <c r="D651"/>
  <c r="D649"/>
  <c r="D650" s="1"/>
  <c r="D648"/>
  <c r="D646"/>
  <c r="D647" s="1"/>
  <c r="D645"/>
  <c r="D643"/>
  <c r="D664" s="1"/>
  <c r="D642"/>
  <c r="D663" s="1"/>
  <c r="D665" l="1"/>
  <c r="D644"/>
  <c r="D638" l="1"/>
  <c r="D637"/>
  <c r="D639" s="1"/>
  <c r="D636"/>
  <c r="D633"/>
  <c r="D630"/>
  <c r="D627"/>
  <c r="D624"/>
  <c r="D621"/>
  <c r="D618"/>
  <c r="D603" l="1"/>
  <c r="D604" s="1"/>
  <c r="D602"/>
  <c r="D600"/>
  <c r="D612" s="1"/>
  <c r="D599"/>
  <c r="D596"/>
  <c r="D598" s="1"/>
  <c r="D593"/>
  <c r="D595" s="1"/>
  <c r="D590"/>
  <c r="D592" s="1"/>
  <c r="D601" l="1"/>
  <c r="D613"/>
  <c r="D611"/>
  <c r="D586" l="1"/>
  <c r="D587" s="1"/>
  <c r="D585"/>
  <c r="D581"/>
  <c r="D575"/>
  <c r="D572"/>
  <c r="D569"/>
  <c r="D566"/>
  <c r="D563"/>
  <c r="D560"/>
  <c r="D557"/>
  <c r="D551" l="1"/>
  <c r="D552" s="1"/>
  <c r="D550"/>
  <c r="D549"/>
  <c r="D546"/>
  <c r="D543"/>
  <c r="D540"/>
  <c r="D537"/>
  <c r="D534"/>
  <c r="D531"/>
  <c r="D525" l="1"/>
  <c r="D526" s="1"/>
  <c r="D524"/>
  <c r="D523"/>
  <c r="D520"/>
  <c r="D517"/>
  <c r="D514"/>
  <c r="D511"/>
  <c r="D508"/>
  <c r="D505"/>
  <c r="D497" l="1"/>
  <c r="D493"/>
  <c r="D492"/>
  <c r="D490"/>
  <c r="D491" s="1"/>
  <c r="D489"/>
  <c r="D487"/>
  <c r="D488" s="1"/>
  <c r="D486"/>
  <c r="D484"/>
  <c r="D485" s="1"/>
  <c r="D483"/>
  <c r="D481"/>
  <c r="D482" s="1"/>
  <c r="D480"/>
  <c r="D478"/>
  <c r="D499" s="1"/>
  <c r="D477"/>
  <c r="D498" s="1"/>
  <c r="D494" l="1"/>
  <c r="D500"/>
  <c r="D479"/>
  <c r="D473" l="1"/>
  <c r="D472"/>
  <c r="D471"/>
  <c r="D468"/>
  <c r="D465"/>
  <c r="D462"/>
  <c r="D459"/>
  <c r="D456"/>
  <c r="D453"/>
  <c r="D474" l="1"/>
  <c r="D447"/>
  <c r="D446"/>
  <c r="D445"/>
  <c r="D442"/>
  <c r="D439"/>
  <c r="D436"/>
  <c r="D433"/>
  <c r="D430"/>
  <c r="D427"/>
  <c r="D448" l="1"/>
  <c r="D421" l="1"/>
  <c r="D420"/>
  <c r="D422" s="1"/>
  <c r="D419"/>
  <c r="D416"/>
  <c r="D413"/>
  <c r="D410"/>
  <c r="D407"/>
  <c r="D404"/>
  <c r="D401"/>
  <c r="D395" l="1"/>
  <c r="D394"/>
  <c r="D396" s="1"/>
  <c r="D393"/>
  <c r="D390"/>
  <c r="D387"/>
  <c r="D384"/>
  <c r="D381"/>
  <c r="D378"/>
  <c r="D375"/>
  <c r="D369" l="1"/>
  <c r="D370" s="1"/>
  <c r="D368"/>
  <c r="D367"/>
  <c r="D364"/>
  <c r="D361"/>
  <c r="D358"/>
  <c r="D355"/>
  <c r="D352"/>
  <c r="D349"/>
  <c r="D343" l="1"/>
  <c r="D341"/>
  <c r="D338"/>
  <c r="D333"/>
  <c r="D335" s="1"/>
  <c r="D330"/>
  <c r="D332" s="1"/>
  <c r="D327"/>
  <c r="D329" s="1"/>
  <c r="D324"/>
  <c r="D326" s="1"/>
  <c r="D321"/>
  <c r="D323" s="1"/>
  <c r="D342" l="1"/>
  <c r="D344" s="1"/>
  <c r="D317" l="1"/>
  <c r="D316"/>
  <c r="D315"/>
  <c r="D312"/>
  <c r="D309"/>
  <c r="D306"/>
  <c r="D303"/>
  <c r="D300"/>
  <c r="D297"/>
  <c r="D318" l="1"/>
  <c r="D291"/>
  <c r="D290"/>
  <c r="D289"/>
  <c r="D286"/>
  <c r="D283"/>
  <c r="D280"/>
  <c r="D277"/>
  <c r="D274"/>
  <c r="D271"/>
  <c r="D292" l="1"/>
  <c r="D265" l="1"/>
  <c r="D261"/>
  <c r="D263" s="1"/>
  <c r="D260"/>
  <c r="D255"/>
  <c r="D257" s="1"/>
  <c r="D252"/>
  <c r="D254" s="1"/>
  <c r="D249"/>
  <c r="D251" s="1"/>
  <c r="D246"/>
  <c r="D248" s="1"/>
  <c r="D243"/>
  <c r="D264" s="1"/>
  <c r="D245" l="1"/>
  <c r="D266"/>
  <c r="D237" l="1"/>
  <c r="D234"/>
  <c r="D230"/>
  <c r="D231" s="1"/>
  <c r="D229"/>
  <c r="D227"/>
  <c r="D228" s="1"/>
  <c r="D226"/>
  <c r="D224"/>
  <c r="D225" s="1"/>
  <c r="D223"/>
  <c r="D221"/>
  <c r="D220"/>
  <c r="D218"/>
  <c r="D239" s="1"/>
  <c r="D240" s="1"/>
  <c r="D217"/>
  <c r="D238" s="1"/>
  <c r="D222" l="1"/>
  <c r="D219"/>
  <c r="D213" l="1"/>
  <c r="D212"/>
  <c r="D211"/>
  <c r="D208"/>
  <c r="D205"/>
  <c r="D202"/>
  <c r="D199"/>
  <c r="D196"/>
  <c r="D193"/>
  <c r="D214" l="1"/>
  <c r="D187"/>
  <c r="D185"/>
  <c r="D182"/>
  <c r="D180"/>
  <c r="D179"/>
  <c r="D177"/>
  <c r="D176"/>
  <c r="D174"/>
  <c r="D173"/>
  <c r="D171"/>
  <c r="D170"/>
  <c r="D168"/>
  <c r="D167"/>
  <c r="D165"/>
  <c r="D186" s="1"/>
  <c r="D188" l="1"/>
  <c r="D152" l="1"/>
  <c r="D153" s="1"/>
  <c r="D151"/>
  <c r="D149"/>
  <c r="D148"/>
  <c r="D146"/>
  <c r="D147" s="1"/>
  <c r="D145"/>
  <c r="D143"/>
  <c r="D142"/>
  <c r="D140"/>
  <c r="D161" s="1"/>
  <c r="D162" s="1"/>
  <c r="D139"/>
  <c r="D160" s="1"/>
  <c r="D144" l="1"/>
  <c r="D150"/>
  <c r="D141"/>
  <c r="D135" l="1"/>
  <c r="D134"/>
  <c r="D136" s="1"/>
  <c r="D133"/>
  <c r="D130"/>
  <c r="D127"/>
  <c r="D124"/>
  <c r="D121"/>
  <c r="D118"/>
  <c r="D115"/>
  <c r="D109" l="1"/>
  <c r="D108"/>
  <c r="D107"/>
  <c r="D104"/>
  <c r="D101"/>
  <c r="D98"/>
  <c r="D95"/>
  <c r="D92"/>
  <c r="D89"/>
  <c r="D110" l="1"/>
  <c r="D83"/>
  <c r="D82"/>
  <c r="D81"/>
  <c r="D78"/>
  <c r="D75"/>
  <c r="D72"/>
  <c r="D69"/>
  <c r="D66"/>
  <c r="D63"/>
  <c r="D84" l="1"/>
  <c r="D57"/>
  <c r="D58" s="1"/>
  <c r="D56"/>
  <c r="D55"/>
  <c r="D52"/>
  <c r="D49"/>
  <c r="D46"/>
  <c r="D43"/>
  <c r="D40"/>
  <c r="D37"/>
  <c r="D30"/>
  <c r="D29"/>
  <c r="D31" l="1"/>
  <c r="D28"/>
  <c r="D25"/>
  <c r="D22"/>
  <c r="D19"/>
  <c r="D16"/>
  <c r="D13"/>
  <c r="D10"/>
</calcChain>
</file>

<file path=xl/sharedStrings.xml><?xml version="1.0" encoding="utf-8"?>
<sst xmlns="http://schemas.openxmlformats.org/spreadsheetml/2006/main" count="1420" uniqueCount="71">
  <si>
    <t>nemocnice</t>
  </si>
  <si>
    <t>období</t>
  </si>
  <si>
    <t>VZP</t>
  </si>
  <si>
    <t>ZPMV</t>
  </si>
  <si>
    <t>ČPZP</t>
  </si>
  <si>
    <t>OZP</t>
  </si>
  <si>
    <t>VoZP</t>
  </si>
  <si>
    <t>RBP</t>
  </si>
  <si>
    <t>ZP Škoda</t>
  </si>
  <si>
    <t xml:space="preserve">celkem </t>
  </si>
  <si>
    <t>zdr. pojišťovna</t>
  </si>
  <si>
    <r>
      <rPr>
        <b/>
        <sz val="11"/>
        <color theme="1"/>
        <rFont val="Calibri"/>
        <family val="2"/>
        <charset val="238"/>
        <scheme val="minor"/>
      </rPr>
      <t>úhrada</t>
    </r>
    <r>
      <rPr>
        <sz val="11"/>
        <color theme="1"/>
        <rFont val="Calibri"/>
        <family val="2"/>
        <charset val="238"/>
        <scheme val="minor"/>
      </rPr>
      <t xml:space="preserve"> včetně RP hospitalizačních i ambulantních*)</t>
    </r>
  </si>
  <si>
    <t>1. Q 2014</t>
  </si>
  <si>
    <t>1. Q 2015</t>
  </si>
  <si>
    <r>
      <rPr>
        <sz val="8"/>
        <color theme="1"/>
        <rFont val="Calibri"/>
        <family val="2"/>
        <charset val="238"/>
        <scheme val="minor"/>
      </rPr>
      <t>1. Q 2015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/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1. Q 2014 v %</t>
    </r>
  </si>
  <si>
    <r>
      <rPr>
        <b/>
        <sz val="11"/>
        <color indexed="8"/>
        <rFont val="Calibri"/>
        <family val="2"/>
        <charset val="238"/>
      </rPr>
      <t>úhrada</t>
    </r>
    <r>
      <rPr>
        <sz val="11"/>
        <color theme="1"/>
        <rFont val="Calibri"/>
        <family val="2"/>
        <charset val="238"/>
        <scheme val="minor"/>
      </rPr>
      <t xml:space="preserve"> včetně RP hospitalizačních i ambulantních*)</t>
    </r>
  </si>
  <si>
    <r>
      <rPr>
        <sz val="8"/>
        <color indexed="8"/>
        <rFont val="Calibri"/>
        <family val="2"/>
        <charset val="238"/>
      </rPr>
      <t>1. Q 2015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indexed="8"/>
        <rFont val="Calibri"/>
        <family val="2"/>
        <charset val="238"/>
      </rPr>
      <t>/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8"/>
        <color indexed="8"/>
        <rFont val="Calibri"/>
        <family val="2"/>
        <charset val="238"/>
      </rPr>
      <t>1. Q 2014 v %</t>
    </r>
  </si>
  <si>
    <t>výkonově</t>
  </si>
  <si>
    <t>výkonový způsob úhrady</t>
  </si>
  <si>
    <t>výkonový systém</t>
  </si>
  <si>
    <t>1. Q 2015 / 1. Q 2014 v %</t>
  </si>
  <si>
    <t xml:space="preserve">Zvýšení úhrad úhradovou vyhláškou pro rok 2015 v akutní péči </t>
  </si>
  <si>
    <t>(porovnání 1. čtvrtletí 2015 s 1. čtvrtletím 2014 podle jednotlivých zdravotních pojišťoven)</t>
  </si>
  <si>
    <t>Tabulka č. 2</t>
  </si>
  <si>
    <t>1.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</si>
  <si>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</si>
  <si>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</si>
  <si>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</si>
  <si>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</si>
  <si>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</si>
  <si>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</si>
  <si>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</si>
  <si>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                           9.   </t>
  </si>
  <si>
    <t xml:space="preserve">10. </t>
  </si>
  <si>
    <t>11.</t>
  </si>
  <si>
    <t xml:space="preserve">12. </t>
  </si>
  <si>
    <t xml:space="preserve">13. </t>
  </si>
  <si>
    <t xml:space="preserve">14. </t>
  </si>
  <si>
    <t>15.</t>
  </si>
  <si>
    <t xml:space="preserve">16. </t>
  </si>
  <si>
    <t xml:space="preserve">17. </t>
  </si>
  <si>
    <t xml:space="preserve">18. </t>
  </si>
  <si>
    <t xml:space="preserve">19. </t>
  </si>
  <si>
    <t>20.</t>
  </si>
  <si>
    <t xml:space="preserve">21. </t>
  </si>
  <si>
    <t xml:space="preserve">23. </t>
  </si>
  <si>
    <t xml:space="preserve">24. </t>
  </si>
  <si>
    <t xml:space="preserve">25. </t>
  </si>
  <si>
    <t xml:space="preserve">26.  </t>
  </si>
  <si>
    <t xml:space="preserve">27. </t>
  </si>
  <si>
    <t xml:space="preserve">28. </t>
  </si>
  <si>
    <t xml:space="preserve">29. </t>
  </si>
  <si>
    <t xml:space="preserve">30. </t>
  </si>
  <si>
    <t xml:space="preserve">31. </t>
  </si>
  <si>
    <t xml:space="preserve">32. </t>
  </si>
  <si>
    <t xml:space="preserve">33. </t>
  </si>
  <si>
    <t xml:space="preserve">34. </t>
  </si>
  <si>
    <t xml:space="preserve">35. </t>
  </si>
  <si>
    <t xml:space="preserve">36. </t>
  </si>
  <si>
    <t xml:space="preserve">37. </t>
  </si>
  <si>
    <t xml:space="preserve">38. </t>
  </si>
  <si>
    <t xml:space="preserve">VZP </t>
  </si>
  <si>
    <t xml:space="preserve">ZPMV                   </t>
  </si>
  <si>
    <t xml:space="preserve">ZPMV                    </t>
  </si>
  <si>
    <t xml:space="preserve">ČPZP </t>
  </si>
  <si>
    <t xml:space="preserve">OZP </t>
  </si>
  <si>
    <t xml:space="preserve">VoZP </t>
  </si>
  <si>
    <t xml:space="preserve">RBP </t>
  </si>
  <si>
    <t xml:space="preserve">ZP Škoda </t>
  </si>
  <si>
    <t>22. (jde o dvě spojené nemocnice s oddělenými úhradami pojišťoven)</t>
  </si>
  <si>
    <t xml:space="preserve">Zeleně označeno přezálohování. Nemocnice bude vracet, což sníží celkovou úhradu za všechny pojišťovny. </t>
  </si>
</sst>
</file>

<file path=xl/styles.xml><?xml version="1.0" encoding="utf-8"?>
<styleSheet xmlns="http://schemas.openxmlformats.org/spreadsheetml/2006/main">
  <numFmts count="2">
    <numFmt numFmtId="43" formatCode="_-* #,##0.00\ _K_č_-;\-* #,##0.00\ _K_č_-;_-* &quot;-&quot;??\ _K_č_-;_-@_-"/>
    <numFmt numFmtId="164" formatCode="0.0%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.5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rgb="FF00B05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91">
    <xf numFmtId="0" fontId="0" fillId="0" borderId="0" xfId="0"/>
    <xf numFmtId="49" fontId="0" fillId="0" borderId="1" xfId="0" applyNumberFormat="1" applyBorder="1"/>
    <xf numFmtId="0" fontId="0" fillId="0" borderId="6" xfId="0" applyBorder="1"/>
    <xf numFmtId="0" fontId="0" fillId="0" borderId="2" xfId="0" applyBorder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7" xfId="1" applyNumberFormat="1" applyFont="1" applyBorder="1" applyAlignment="1">
      <alignment horizontal="center"/>
    </xf>
    <xf numFmtId="4" fontId="0" fillId="0" borderId="8" xfId="2" applyNumberFormat="1" applyFont="1" applyBorder="1" applyAlignment="1">
      <alignment horizontal="center"/>
    </xf>
    <xf numFmtId="4" fontId="0" fillId="0" borderId="3" xfId="2" applyNumberFormat="1" applyFont="1" applyBorder="1" applyAlignment="1">
      <alignment horizontal="center"/>
    </xf>
    <xf numFmtId="4" fontId="0" fillId="0" borderId="8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5" fillId="0" borderId="0" xfId="0" applyFont="1"/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4" fontId="4" fillId="0" borderId="8" xfId="2" applyNumberFormat="1" applyFont="1" applyBorder="1" applyAlignment="1">
      <alignment horizontal="center"/>
    </xf>
    <xf numFmtId="4" fontId="4" fillId="0" borderId="3" xfId="2" applyNumberFormat="1" applyFont="1" applyBorder="1" applyAlignment="1">
      <alignment horizontal="center"/>
    </xf>
    <xf numFmtId="164" fontId="4" fillId="0" borderId="7" xfId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/>
    <xf numFmtId="0" fontId="0" fillId="0" borderId="14" xfId="0" applyBorder="1"/>
    <xf numFmtId="0" fontId="0" fillId="0" borderId="20" xfId="0" applyBorder="1"/>
    <xf numFmtId="164" fontId="0" fillId="0" borderId="21" xfId="1" applyNumberFormat="1" applyFont="1" applyBorder="1" applyAlignment="1">
      <alignment horizontal="center"/>
    </xf>
    <xf numFmtId="0" fontId="0" fillId="0" borderId="22" xfId="0" applyBorder="1"/>
    <xf numFmtId="164" fontId="0" fillId="0" borderId="23" xfId="1" applyNumberFormat="1" applyFont="1" applyBorder="1" applyAlignment="1">
      <alignment horizontal="center"/>
    </xf>
    <xf numFmtId="0" fontId="0" fillId="0" borderId="1" xfId="0" applyBorder="1"/>
    <xf numFmtId="164" fontId="0" fillId="0" borderId="3" xfId="1" applyNumberFormat="1" applyFont="1" applyBorder="1" applyAlignment="1">
      <alignment horizontal="center"/>
    </xf>
    <xf numFmtId="4" fontId="8" fillId="0" borderId="8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23" xfId="2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164" fontId="8" fillId="0" borderId="7" xfId="1" applyNumberFormat="1" applyFont="1" applyBorder="1" applyAlignment="1">
      <alignment horizontal="center"/>
    </xf>
    <xf numFmtId="164" fontId="10" fillId="0" borderId="21" xfId="1" applyNumberFormat="1" applyFont="1" applyBorder="1" applyAlignment="1">
      <alignment horizontal="center"/>
    </xf>
    <xf numFmtId="4" fontId="8" fillId="0" borderId="3" xfId="0" applyNumberFormat="1" applyFont="1" applyBorder="1" applyAlignment="1">
      <alignment horizontal="center"/>
    </xf>
    <xf numFmtId="164" fontId="0" fillId="0" borderId="7" xfId="1" applyNumberFormat="1" applyFont="1" applyFill="1" applyBorder="1" applyAlignment="1">
      <alignment horizontal="center"/>
    </xf>
    <xf numFmtId="4" fontId="12" fillId="0" borderId="8" xfId="2" applyNumberFormat="1" applyFont="1" applyBorder="1" applyAlignment="1">
      <alignment horizontal="center"/>
    </xf>
    <xf numFmtId="4" fontId="12" fillId="0" borderId="3" xfId="2" applyNumberFormat="1" applyFont="1" applyBorder="1" applyAlignment="1">
      <alignment horizontal="center"/>
    </xf>
    <xf numFmtId="164" fontId="12" fillId="0" borderId="7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164" fontId="11" fillId="0" borderId="7" xfId="1" applyNumberFormat="1" applyFont="1" applyBorder="1" applyAlignment="1">
      <alignment horizontal="center"/>
    </xf>
    <xf numFmtId="4" fontId="11" fillId="0" borderId="3" xfId="2" applyNumberFormat="1" applyFont="1" applyBorder="1" applyAlignment="1">
      <alignment horizontal="center"/>
    </xf>
    <xf numFmtId="4" fontId="8" fillId="0" borderId="3" xfId="2" applyNumberFormat="1" applyFont="1" applyBorder="1" applyAlignment="1">
      <alignment horizontal="center"/>
    </xf>
    <xf numFmtId="164" fontId="11" fillId="0" borderId="7" xfId="1" applyNumberFormat="1" applyFont="1" applyFill="1" applyBorder="1" applyAlignment="1">
      <alignment horizontal="center"/>
    </xf>
    <xf numFmtId="164" fontId="16" fillId="0" borderId="7" xfId="1" applyNumberFormat="1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3">
    <cellStyle name="čárky" xfId="2" builtinId="3"/>
    <cellStyle name="normální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va_ticha/Desktop/mamka/2015/EXCEL/ASOCIACE/protokol%20odhady%20p&#345;&#237;jm&#367;%20_souhrn%20-%20leden-b&#345;ezen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kapitulace"/>
    </sheetNames>
    <sheetDataSet>
      <sheetData sheetId="0" refreshError="1">
        <row r="10">
          <cell r="M10">
            <v>60138449</v>
          </cell>
        </row>
        <row r="18">
          <cell r="M18">
            <v>2280729</v>
          </cell>
        </row>
        <row r="35">
          <cell r="M35">
            <v>1114323</v>
          </cell>
        </row>
      </sheetData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03"/>
  <sheetViews>
    <sheetView tabSelected="1" zoomScale="130" zoomScaleNormal="130" workbookViewId="0">
      <selection activeCell="C9" sqref="C9"/>
    </sheetView>
  </sheetViews>
  <sheetFormatPr defaultRowHeight="15"/>
  <cols>
    <col min="1" max="1" width="15.42578125" customWidth="1"/>
    <col min="2" max="2" width="15.140625" customWidth="1"/>
    <col min="3" max="3" width="19.140625" customWidth="1"/>
    <col min="4" max="4" width="46.5703125" customWidth="1"/>
    <col min="6" max="6" width="15.140625" customWidth="1"/>
  </cols>
  <sheetData>
    <row r="1" spans="1:5" ht="15.75">
      <c r="A1" s="45" t="s">
        <v>23</v>
      </c>
    </row>
    <row r="2" spans="1:5" ht="18.75">
      <c r="A2" s="77" t="s">
        <v>21</v>
      </c>
      <c r="B2" s="77"/>
      <c r="C2" s="77"/>
      <c r="D2" s="77"/>
      <c r="E2" s="15"/>
    </row>
    <row r="3" spans="1:5" ht="15.75">
      <c r="A3" s="78" t="s">
        <v>22</v>
      </c>
      <c r="B3" s="78"/>
      <c r="C3" s="78"/>
      <c r="D3" s="78"/>
    </row>
    <row r="4" spans="1:5" ht="18.75">
      <c r="A4" s="79"/>
      <c r="B4" s="79"/>
      <c r="C4" s="79"/>
      <c r="D4" s="79"/>
    </row>
    <row r="5" spans="1:5" ht="18.75" customHeight="1">
      <c r="A5" s="80" t="s">
        <v>70</v>
      </c>
      <c r="B5" s="80"/>
      <c r="C5" s="80"/>
      <c r="D5" s="80"/>
    </row>
    <row r="6" spans="1:5" ht="15.75" thickBot="1"/>
    <row r="7" spans="1:5" ht="14.1" customHeight="1" thickBot="1">
      <c r="A7" s="4" t="s">
        <v>0</v>
      </c>
      <c r="B7" s="7" t="s">
        <v>10</v>
      </c>
      <c r="C7" s="5" t="s">
        <v>1</v>
      </c>
      <c r="D7" s="6" t="s">
        <v>11</v>
      </c>
    </row>
    <row r="8" spans="1:5" ht="12.95" customHeight="1">
      <c r="A8" s="63" t="s">
        <v>24</v>
      </c>
      <c r="B8" s="54" t="s">
        <v>2</v>
      </c>
      <c r="C8" s="3" t="s">
        <v>12</v>
      </c>
      <c r="D8" s="11">
        <v>47058627</v>
      </c>
    </row>
    <row r="9" spans="1:5" ht="12.95" customHeight="1">
      <c r="A9" s="64"/>
      <c r="B9" s="55"/>
      <c r="C9" s="1" t="s">
        <v>13</v>
      </c>
      <c r="D9" s="12">
        <v>48224796</v>
      </c>
    </row>
    <row r="10" spans="1:5" ht="12.95" customHeight="1" thickBot="1">
      <c r="A10" s="64"/>
      <c r="B10" s="56"/>
      <c r="C10" s="2" t="s">
        <v>14</v>
      </c>
      <c r="D10" s="46">
        <f>D9/D8</f>
        <v>1.0247811947424645</v>
      </c>
    </row>
    <row r="11" spans="1:5" ht="12.95" customHeight="1">
      <c r="A11" s="64"/>
      <c r="B11" s="54" t="s">
        <v>3</v>
      </c>
      <c r="C11" s="3" t="s">
        <v>12</v>
      </c>
      <c r="D11" s="11">
        <v>1195017</v>
      </c>
    </row>
    <row r="12" spans="1:5" ht="12.95" customHeight="1">
      <c r="A12" s="64"/>
      <c r="B12" s="55"/>
      <c r="C12" s="1" t="s">
        <v>13</v>
      </c>
      <c r="D12" s="12">
        <v>1284720</v>
      </c>
    </row>
    <row r="13" spans="1:5" ht="12.95" customHeight="1" thickBot="1">
      <c r="A13" s="64"/>
      <c r="B13" s="56"/>
      <c r="C13" s="2" t="s">
        <v>14</v>
      </c>
      <c r="D13" s="37">
        <f>D12/D11</f>
        <v>1.0750642041075567</v>
      </c>
    </row>
    <row r="14" spans="1:5" ht="12.95" customHeight="1">
      <c r="A14" s="64"/>
      <c r="B14" s="54" t="s">
        <v>4</v>
      </c>
      <c r="C14" s="3" t="s">
        <v>12</v>
      </c>
      <c r="D14" s="11">
        <v>8240525</v>
      </c>
    </row>
    <row r="15" spans="1:5" ht="12.95" customHeight="1">
      <c r="A15" s="64"/>
      <c r="B15" s="55"/>
      <c r="C15" s="1" t="s">
        <v>13</v>
      </c>
      <c r="D15" s="12">
        <v>8804490</v>
      </c>
    </row>
    <row r="16" spans="1:5" ht="12.95" customHeight="1" thickBot="1">
      <c r="A16" s="64"/>
      <c r="B16" s="56"/>
      <c r="C16" s="2" t="s">
        <v>14</v>
      </c>
      <c r="D16" s="37">
        <f>D15/D14</f>
        <v>1.0684379939384929</v>
      </c>
    </row>
    <row r="17" spans="1:6" ht="12.95" customHeight="1">
      <c r="A17" s="64"/>
      <c r="B17" s="54" t="s">
        <v>5</v>
      </c>
      <c r="C17" s="3" t="s">
        <v>12</v>
      </c>
      <c r="D17" s="13">
        <v>1392375</v>
      </c>
    </row>
    <row r="18" spans="1:6" ht="12.95" customHeight="1">
      <c r="A18" s="64"/>
      <c r="B18" s="55"/>
      <c r="C18" s="1" t="s">
        <v>13</v>
      </c>
      <c r="D18" s="14">
        <v>1646455.07</v>
      </c>
    </row>
    <row r="19" spans="1:6" ht="12.95" customHeight="1" thickBot="1">
      <c r="A19" s="64"/>
      <c r="B19" s="56"/>
      <c r="C19" s="2" t="s">
        <v>14</v>
      </c>
      <c r="D19" s="37">
        <f>D18/D17</f>
        <v>1.1824796265373911</v>
      </c>
    </row>
    <row r="20" spans="1:6" ht="12.95" customHeight="1">
      <c r="A20" s="64"/>
      <c r="B20" s="54" t="s">
        <v>6</v>
      </c>
      <c r="C20" s="3" t="s">
        <v>12</v>
      </c>
      <c r="D20" s="13">
        <v>3284075</v>
      </c>
    </row>
    <row r="21" spans="1:6" ht="12.95" customHeight="1">
      <c r="A21" s="64"/>
      <c r="B21" s="55"/>
      <c r="C21" s="1" t="s">
        <v>13</v>
      </c>
      <c r="D21" s="14">
        <v>3799320</v>
      </c>
    </row>
    <row r="22" spans="1:6" ht="12.95" customHeight="1" thickBot="1">
      <c r="A22" s="64"/>
      <c r="B22" s="56"/>
      <c r="C22" s="2" t="s">
        <v>14</v>
      </c>
      <c r="D22" s="37">
        <f>D21/D20</f>
        <v>1.1568919711029741</v>
      </c>
    </row>
    <row r="23" spans="1:6" ht="12.95" customHeight="1">
      <c r="A23" s="64"/>
      <c r="B23" s="54" t="s">
        <v>7</v>
      </c>
      <c r="C23" s="3" t="s">
        <v>12</v>
      </c>
      <c r="D23" s="13">
        <v>13988079</v>
      </c>
    </row>
    <row r="24" spans="1:6" ht="12.95" customHeight="1">
      <c r="A24" s="64"/>
      <c r="B24" s="55"/>
      <c r="C24" s="1" t="s">
        <v>13</v>
      </c>
      <c r="D24" s="14">
        <v>18648000</v>
      </c>
    </row>
    <row r="25" spans="1:6" ht="12.95" customHeight="1" thickBot="1">
      <c r="A25" s="64"/>
      <c r="B25" s="56"/>
      <c r="C25" s="2" t="s">
        <v>14</v>
      </c>
      <c r="D25" s="37">
        <f>D24/D23</f>
        <v>1.3331351645926506</v>
      </c>
    </row>
    <row r="26" spans="1:6" ht="12.95" customHeight="1">
      <c r="A26" s="64"/>
      <c r="B26" s="54" t="s">
        <v>8</v>
      </c>
      <c r="C26" s="3" t="s">
        <v>12</v>
      </c>
      <c r="D26" s="13">
        <v>8934</v>
      </c>
      <c r="E26" s="67"/>
      <c r="F26" s="75"/>
    </row>
    <row r="27" spans="1:6" ht="12.95" customHeight="1">
      <c r="A27" s="64"/>
      <c r="B27" s="55"/>
      <c r="C27" s="1" t="s">
        <v>13</v>
      </c>
      <c r="D27" s="14">
        <v>1358.1399999999999</v>
      </c>
      <c r="E27" s="67"/>
      <c r="F27" s="75"/>
    </row>
    <row r="28" spans="1:6" ht="12.95" customHeight="1" thickBot="1">
      <c r="A28" s="64"/>
      <c r="B28" s="56"/>
      <c r="C28" s="2" t="s">
        <v>14</v>
      </c>
      <c r="D28" s="46">
        <f>D27/D26</f>
        <v>0.15201925229460486</v>
      </c>
    </row>
    <row r="29" spans="1:6" ht="12.95" customHeight="1">
      <c r="A29" s="64"/>
      <c r="B29" s="57" t="s">
        <v>9</v>
      </c>
      <c r="C29" s="3" t="s">
        <v>12</v>
      </c>
      <c r="D29" s="11">
        <f>D8+D11+D14+D17+D20+D23+D26</f>
        <v>75167632</v>
      </c>
    </row>
    <row r="30" spans="1:6" ht="12.95" customHeight="1">
      <c r="A30" s="64"/>
      <c r="B30" s="58"/>
      <c r="C30" s="1" t="s">
        <v>13</v>
      </c>
      <c r="D30" s="14">
        <f>D9+D12+D15+D18+D21+D24+D27</f>
        <v>82409139.209999993</v>
      </c>
    </row>
    <row r="31" spans="1:6" ht="12.95" customHeight="1" thickBot="1">
      <c r="A31" s="65"/>
      <c r="B31" s="59"/>
      <c r="C31" s="2" t="s">
        <v>14</v>
      </c>
      <c r="D31" s="21">
        <f>D30/D29</f>
        <v>1.0963381048108578</v>
      </c>
    </row>
    <row r="32" spans="1:6">
      <c r="A32" s="8"/>
      <c r="B32" s="8"/>
      <c r="C32" s="9"/>
      <c r="D32" s="9"/>
    </row>
    <row r="33" spans="1:4" ht="15.75" thickBot="1">
      <c r="A33" s="76"/>
      <c r="B33" s="76"/>
      <c r="C33" s="76"/>
      <c r="D33" s="76"/>
    </row>
    <row r="34" spans="1:4" ht="15.75" thickBot="1">
      <c r="A34" s="4" t="s">
        <v>0</v>
      </c>
      <c r="B34" s="7" t="s">
        <v>10</v>
      </c>
      <c r="C34" s="5" t="s">
        <v>1</v>
      </c>
      <c r="D34" s="6" t="s">
        <v>11</v>
      </c>
    </row>
    <row r="35" spans="1:4">
      <c r="A35" s="51" t="s">
        <v>25</v>
      </c>
      <c r="B35" s="54" t="s">
        <v>2</v>
      </c>
      <c r="C35" s="3" t="s">
        <v>12</v>
      </c>
      <c r="D35" s="11">
        <v>35010123</v>
      </c>
    </row>
    <row r="36" spans="1:4">
      <c r="A36" s="52"/>
      <c r="B36" s="55"/>
      <c r="C36" s="1" t="s">
        <v>13</v>
      </c>
      <c r="D36" s="12">
        <v>36788619</v>
      </c>
    </row>
    <row r="37" spans="1:4" ht="15.75" thickBot="1">
      <c r="A37" s="52"/>
      <c r="B37" s="56"/>
      <c r="C37" s="2" t="s">
        <v>14</v>
      </c>
      <c r="D37" s="37">
        <f>D36/D35</f>
        <v>1.050799478767898</v>
      </c>
    </row>
    <row r="38" spans="1:4">
      <c r="A38" s="52"/>
      <c r="B38" s="54" t="s">
        <v>3</v>
      </c>
      <c r="C38" s="3" t="s">
        <v>12</v>
      </c>
      <c r="D38" s="11">
        <v>11038500</v>
      </c>
    </row>
    <row r="39" spans="1:4">
      <c r="A39" s="52"/>
      <c r="B39" s="55"/>
      <c r="C39" s="1" t="s">
        <v>13</v>
      </c>
      <c r="D39" s="12">
        <v>12269490</v>
      </c>
    </row>
    <row r="40" spans="1:4" ht="15.75" thickBot="1">
      <c r="A40" s="52"/>
      <c r="B40" s="56"/>
      <c r="C40" s="2" t="s">
        <v>14</v>
      </c>
      <c r="D40" s="37">
        <f>D39/D38</f>
        <v>1.1115178692757168</v>
      </c>
    </row>
    <row r="41" spans="1:4">
      <c r="A41" s="52"/>
      <c r="B41" s="54" t="s">
        <v>4</v>
      </c>
      <c r="C41" s="3" t="s">
        <v>12</v>
      </c>
      <c r="D41" s="11">
        <v>2619000</v>
      </c>
    </row>
    <row r="42" spans="1:4">
      <c r="A42" s="52"/>
      <c r="B42" s="55"/>
      <c r="C42" s="1" t="s">
        <v>13</v>
      </c>
      <c r="D42" s="12">
        <v>2742321</v>
      </c>
    </row>
    <row r="43" spans="1:4" ht="15.75" thickBot="1">
      <c r="A43" s="52"/>
      <c r="B43" s="56"/>
      <c r="C43" s="2" t="s">
        <v>14</v>
      </c>
      <c r="D43" s="10">
        <f>D42/D41</f>
        <v>1.0470870561282932</v>
      </c>
    </row>
    <row r="44" spans="1:4">
      <c r="A44" s="52"/>
      <c r="B44" s="54" t="s">
        <v>5</v>
      </c>
      <c r="C44" s="3" t="s">
        <v>12</v>
      </c>
      <c r="D44" s="13">
        <v>2250000</v>
      </c>
    </row>
    <row r="45" spans="1:4">
      <c r="A45" s="52"/>
      <c r="B45" s="55"/>
      <c r="C45" s="1" t="s">
        <v>13</v>
      </c>
      <c r="D45" s="14">
        <v>2320637</v>
      </c>
    </row>
    <row r="46" spans="1:4" ht="15.75" thickBot="1">
      <c r="A46" s="52"/>
      <c r="B46" s="56"/>
      <c r="C46" s="2" t="s">
        <v>14</v>
      </c>
      <c r="D46" s="10">
        <f>D45/D44</f>
        <v>1.0313942222222223</v>
      </c>
    </row>
    <row r="47" spans="1:4">
      <c r="A47" s="52"/>
      <c r="B47" s="54" t="s">
        <v>6</v>
      </c>
      <c r="C47" s="3" t="s">
        <v>12</v>
      </c>
      <c r="D47" s="13">
        <v>13457190</v>
      </c>
    </row>
    <row r="48" spans="1:4">
      <c r="A48" s="52"/>
      <c r="B48" s="55"/>
      <c r="C48" s="1" t="s">
        <v>13</v>
      </c>
      <c r="D48" s="14">
        <v>14622225</v>
      </c>
    </row>
    <row r="49" spans="1:4" ht="15.75" thickBot="1">
      <c r="A49" s="52"/>
      <c r="B49" s="56"/>
      <c r="C49" s="2" t="s">
        <v>14</v>
      </c>
      <c r="D49" s="37">
        <f>D48/D47</f>
        <v>1.0865734228319581</v>
      </c>
    </row>
    <row r="50" spans="1:4">
      <c r="A50" s="52"/>
      <c r="B50" s="54" t="s">
        <v>7</v>
      </c>
      <c r="C50" s="3" t="s">
        <v>12</v>
      </c>
      <c r="D50" s="13">
        <v>502979</v>
      </c>
    </row>
    <row r="51" spans="1:4">
      <c r="A51" s="52"/>
      <c r="B51" s="55"/>
      <c r="C51" s="1" t="s">
        <v>13</v>
      </c>
      <c r="D51" s="14">
        <v>324811.53000000003</v>
      </c>
    </row>
    <row r="52" spans="1:4" ht="15.75" thickBot="1">
      <c r="A52" s="52"/>
      <c r="B52" s="56"/>
      <c r="C52" s="2" t="s">
        <v>14</v>
      </c>
      <c r="D52" s="46">
        <f>D51/D50</f>
        <v>0.64577552939585947</v>
      </c>
    </row>
    <row r="53" spans="1:4">
      <c r="A53" s="52"/>
      <c r="B53" s="54" t="s">
        <v>8</v>
      </c>
      <c r="C53" s="3" t="s">
        <v>12</v>
      </c>
      <c r="D53" s="13">
        <v>0</v>
      </c>
    </row>
    <row r="54" spans="1:4">
      <c r="A54" s="52"/>
      <c r="B54" s="55"/>
      <c r="C54" s="1" t="s">
        <v>13</v>
      </c>
      <c r="D54" s="14">
        <v>0</v>
      </c>
    </row>
    <row r="55" spans="1:4" ht="15.75" thickBot="1">
      <c r="A55" s="52"/>
      <c r="B55" s="56"/>
      <c r="C55" s="2" t="s">
        <v>14</v>
      </c>
      <c r="D55" s="10" t="e">
        <f>D54/D53</f>
        <v>#DIV/0!</v>
      </c>
    </row>
    <row r="56" spans="1:4">
      <c r="A56" s="52"/>
      <c r="B56" s="57" t="s">
        <v>9</v>
      </c>
      <c r="C56" s="3" t="s">
        <v>12</v>
      </c>
      <c r="D56" s="11">
        <f>D35+D38+D41+D44+D47+D50+D53</f>
        <v>64877792</v>
      </c>
    </row>
    <row r="57" spans="1:4">
      <c r="A57" s="52"/>
      <c r="B57" s="58"/>
      <c r="C57" s="1" t="s">
        <v>13</v>
      </c>
      <c r="D57" s="14">
        <f>D36+D39+D42+D45+D48+D51+D54</f>
        <v>69068103.530000001</v>
      </c>
    </row>
    <row r="58" spans="1:4" ht="15.75" thickBot="1">
      <c r="A58" s="53"/>
      <c r="B58" s="59"/>
      <c r="C58" s="2" t="s">
        <v>14</v>
      </c>
      <c r="D58" s="21">
        <f>D57/D56</f>
        <v>1.0645877641766848</v>
      </c>
    </row>
    <row r="59" spans="1:4" ht="15.75" thickBot="1"/>
    <row r="60" spans="1:4" ht="15.75" thickBot="1">
      <c r="A60" s="4" t="s">
        <v>0</v>
      </c>
      <c r="B60" s="7" t="s">
        <v>10</v>
      </c>
      <c r="C60" s="5" t="s">
        <v>1</v>
      </c>
      <c r="D60" s="6" t="s">
        <v>11</v>
      </c>
    </row>
    <row r="61" spans="1:4">
      <c r="A61" s="51" t="s">
        <v>26</v>
      </c>
      <c r="B61" s="54" t="s">
        <v>2</v>
      </c>
      <c r="C61" s="3" t="s">
        <v>12</v>
      </c>
      <c r="D61" s="11">
        <v>126373248</v>
      </c>
    </row>
    <row r="62" spans="1:4">
      <c r="A62" s="52"/>
      <c r="B62" s="55"/>
      <c r="C62" s="1" t="s">
        <v>13</v>
      </c>
      <c r="D62" s="12">
        <v>129290610</v>
      </c>
    </row>
    <row r="63" spans="1:4" ht="15.75" thickBot="1">
      <c r="A63" s="52"/>
      <c r="B63" s="56"/>
      <c r="C63" s="2" t="s">
        <v>14</v>
      </c>
      <c r="D63" s="46">
        <f>D62/D61</f>
        <v>1.0230852814671663</v>
      </c>
    </row>
    <row r="64" spans="1:4">
      <c r="A64" s="52"/>
      <c r="B64" s="54" t="s">
        <v>3</v>
      </c>
      <c r="C64" s="3" t="s">
        <v>12</v>
      </c>
      <c r="D64" s="11">
        <v>14133966</v>
      </c>
    </row>
    <row r="65" spans="1:4">
      <c r="A65" s="52"/>
      <c r="B65" s="55"/>
      <c r="C65" s="1" t="s">
        <v>13</v>
      </c>
      <c r="D65" s="12">
        <v>14974290</v>
      </c>
    </row>
    <row r="66" spans="1:4" ht="15.75" thickBot="1">
      <c r="A66" s="52"/>
      <c r="B66" s="56"/>
      <c r="C66" s="2" t="s">
        <v>14</v>
      </c>
      <c r="D66" s="37">
        <f>D65/D64</f>
        <v>1.059454225374534</v>
      </c>
    </row>
    <row r="67" spans="1:4">
      <c r="A67" s="52"/>
      <c r="B67" s="54" t="s">
        <v>4</v>
      </c>
      <c r="C67" s="3" t="s">
        <v>12</v>
      </c>
      <c r="D67" s="11">
        <v>9361971</v>
      </c>
    </row>
    <row r="68" spans="1:4">
      <c r="A68" s="52"/>
      <c r="B68" s="55"/>
      <c r="C68" s="1" t="s">
        <v>13</v>
      </c>
      <c r="D68" s="47">
        <v>9160884</v>
      </c>
    </row>
    <row r="69" spans="1:4" ht="15.75" thickBot="1">
      <c r="A69" s="52"/>
      <c r="B69" s="56"/>
      <c r="C69" s="2" t="s">
        <v>14</v>
      </c>
      <c r="D69" s="46">
        <f>D68/D67</f>
        <v>0.97852086916312819</v>
      </c>
    </row>
    <row r="70" spans="1:4">
      <c r="A70" s="52"/>
      <c r="B70" s="54" t="s">
        <v>5</v>
      </c>
      <c r="C70" s="3" t="s">
        <v>12</v>
      </c>
      <c r="D70" s="13">
        <v>6631467</v>
      </c>
    </row>
    <row r="71" spans="1:4">
      <c r="A71" s="52"/>
      <c r="B71" s="55"/>
      <c r="C71" s="1" t="s">
        <v>13</v>
      </c>
      <c r="D71" s="14">
        <v>6980181</v>
      </c>
    </row>
    <row r="72" spans="1:4" ht="15.75" thickBot="1">
      <c r="A72" s="52"/>
      <c r="B72" s="56"/>
      <c r="C72" s="2" t="s">
        <v>14</v>
      </c>
      <c r="D72" s="37">
        <f>D71/D70</f>
        <v>1.0525847448234305</v>
      </c>
    </row>
    <row r="73" spans="1:4">
      <c r="A73" s="52"/>
      <c r="B73" s="54" t="s">
        <v>6</v>
      </c>
      <c r="C73" s="3" t="s">
        <v>12</v>
      </c>
      <c r="D73" s="13">
        <v>6698619</v>
      </c>
    </row>
    <row r="74" spans="1:4">
      <c r="A74" s="52"/>
      <c r="B74" s="55"/>
      <c r="C74" s="1" t="s">
        <v>13</v>
      </c>
      <c r="D74" s="14">
        <v>7095813</v>
      </c>
    </row>
    <row r="75" spans="1:4" ht="15.75" thickBot="1">
      <c r="A75" s="52"/>
      <c r="B75" s="56"/>
      <c r="C75" s="2" t="s">
        <v>14</v>
      </c>
      <c r="D75" s="37">
        <f>D74/D73</f>
        <v>1.0592949083982832</v>
      </c>
    </row>
    <row r="76" spans="1:4">
      <c r="A76" s="52"/>
      <c r="B76" s="54" t="s">
        <v>7</v>
      </c>
      <c r="C76" s="3" t="s">
        <v>12</v>
      </c>
      <c r="D76" s="13"/>
    </row>
    <row r="77" spans="1:4">
      <c r="A77" s="52"/>
      <c r="B77" s="55"/>
      <c r="C77" s="1" t="s">
        <v>13</v>
      </c>
      <c r="D77" s="14"/>
    </row>
    <row r="78" spans="1:4" ht="15.75" thickBot="1">
      <c r="A78" s="52"/>
      <c r="B78" s="56"/>
      <c r="C78" s="2" t="s">
        <v>14</v>
      </c>
      <c r="D78" s="10" t="e">
        <f>D77/D76</f>
        <v>#DIV/0!</v>
      </c>
    </row>
    <row r="79" spans="1:4">
      <c r="A79" s="52"/>
      <c r="B79" s="54" t="s">
        <v>8</v>
      </c>
      <c r="C79" s="3" t="s">
        <v>12</v>
      </c>
      <c r="D79" s="13"/>
    </row>
    <row r="80" spans="1:4">
      <c r="A80" s="52"/>
      <c r="B80" s="55"/>
      <c r="C80" s="1" t="s">
        <v>13</v>
      </c>
      <c r="D80" s="14"/>
    </row>
    <row r="81" spans="1:4" ht="15.75" thickBot="1">
      <c r="A81" s="52"/>
      <c r="B81" s="56"/>
      <c r="C81" s="2" t="s">
        <v>14</v>
      </c>
      <c r="D81" s="10" t="e">
        <f>D80/D79</f>
        <v>#DIV/0!</v>
      </c>
    </row>
    <row r="82" spans="1:4">
      <c r="A82" s="52"/>
      <c r="B82" s="57" t="s">
        <v>9</v>
      </c>
      <c r="C82" s="3" t="s">
        <v>12</v>
      </c>
      <c r="D82" s="11">
        <f>D61+D64+D67+D70+D73+D76+D79</f>
        <v>163199271</v>
      </c>
    </row>
    <row r="83" spans="1:4">
      <c r="A83" s="52"/>
      <c r="B83" s="58"/>
      <c r="C83" s="1" t="s">
        <v>13</v>
      </c>
      <c r="D83" s="14">
        <f>D62+D65+D68+D71+D74+D77+D80</f>
        <v>167501778</v>
      </c>
    </row>
    <row r="84" spans="1:4" ht="15.75" thickBot="1">
      <c r="A84" s="53"/>
      <c r="B84" s="59"/>
      <c r="C84" s="2" t="s">
        <v>14</v>
      </c>
      <c r="D84" s="46">
        <f>D83/D82</f>
        <v>1.0263635184988051</v>
      </c>
    </row>
    <row r="85" spans="1:4" ht="15.75" thickBot="1"/>
    <row r="86" spans="1:4" ht="15.75" thickBot="1">
      <c r="A86" s="4" t="s">
        <v>0</v>
      </c>
      <c r="B86" s="7" t="s">
        <v>10</v>
      </c>
      <c r="C86" s="5" t="s">
        <v>1</v>
      </c>
      <c r="D86" s="6" t="s">
        <v>11</v>
      </c>
    </row>
    <row r="87" spans="1:4">
      <c r="A87" s="51" t="s">
        <v>27</v>
      </c>
      <c r="B87" s="54" t="s">
        <v>2</v>
      </c>
      <c r="C87" s="3" t="s">
        <v>12</v>
      </c>
      <c r="D87" s="11">
        <v>19560843</v>
      </c>
    </row>
    <row r="88" spans="1:4">
      <c r="A88" s="52"/>
      <c r="B88" s="55"/>
      <c r="C88" s="1" t="s">
        <v>13</v>
      </c>
      <c r="D88" s="12">
        <v>20011641</v>
      </c>
    </row>
    <row r="89" spans="1:4" ht="15.75" thickBot="1">
      <c r="A89" s="52"/>
      <c r="B89" s="56"/>
      <c r="C89" s="2" t="s">
        <v>14</v>
      </c>
      <c r="D89" s="46">
        <f>D88/D87</f>
        <v>1.0230459392777704</v>
      </c>
    </row>
    <row r="90" spans="1:4">
      <c r="A90" s="52"/>
      <c r="B90" s="54" t="s">
        <v>3</v>
      </c>
      <c r="C90" s="3" t="s">
        <v>12</v>
      </c>
      <c r="D90" s="11">
        <v>1972250</v>
      </c>
    </row>
    <row r="91" spans="1:4">
      <c r="A91" s="52"/>
      <c r="B91" s="55"/>
      <c r="C91" s="1" t="s">
        <v>13</v>
      </c>
      <c r="D91" s="12">
        <v>2540610</v>
      </c>
    </row>
    <row r="92" spans="1:4" ht="15.75" thickBot="1">
      <c r="A92" s="52"/>
      <c r="B92" s="56"/>
      <c r="C92" s="2" t="s">
        <v>14</v>
      </c>
      <c r="D92" s="37">
        <f>D91/D90</f>
        <v>1.2881784763594879</v>
      </c>
    </row>
    <row r="93" spans="1:4">
      <c r="A93" s="52"/>
      <c r="B93" s="54" t="s">
        <v>4</v>
      </c>
      <c r="C93" s="3" t="s">
        <v>12</v>
      </c>
      <c r="D93" s="11">
        <v>2268700</v>
      </c>
    </row>
    <row r="94" spans="1:4">
      <c r="A94" s="52"/>
      <c r="B94" s="55"/>
      <c r="C94" s="1" t="s">
        <v>13</v>
      </c>
      <c r="D94" s="12">
        <v>2081499</v>
      </c>
    </row>
    <row r="95" spans="1:4" ht="15.75" thickBot="1">
      <c r="A95" s="52"/>
      <c r="B95" s="56"/>
      <c r="C95" s="2" t="s">
        <v>14</v>
      </c>
      <c r="D95" s="46">
        <f>D94/D93</f>
        <v>0.91748534402962045</v>
      </c>
    </row>
    <row r="96" spans="1:4">
      <c r="A96" s="52"/>
      <c r="B96" s="54" t="s">
        <v>5</v>
      </c>
      <c r="C96" s="3" t="s">
        <v>12</v>
      </c>
      <c r="D96" s="13">
        <v>814107</v>
      </c>
    </row>
    <row r="97" spans="1:4">
      <c r="A97" s="52"/>
      <c r="B97" s="55"/>
      <c r="C97" s="1" t="s">
        <v>13</v>
      </c>
      <c r="D97" s="14">
        <v>834627</v>
      </c>
    </row>
    <row r="98" spans="1:4" ht="15.75" thickBot="1">
      <c r="A98" s="52"/>
      <c r="B98" s="56"/>
      <c r="C98" s="2" t="s">
        <v>14</v>
      </c>
      <c r="D98" s="46">
        <f>D97/D96</f>
        <v>1.0252055319509599</v>
      </c>
    </row>
    <row r="99" spans="1:4">
      <c r="A99" s="52"/>
      <c r="B99" s="54" t="s">
        <v>6</v>
      </c>
      <c r="C99" s="3" t="s">
        <v>12</v>
      </c>
      <c r="D99" s="13">
        <v>803283</v>
      </c>
    </row>
    <row r="100" spans="1:4">
      <c r="A100" s="52"/>
      <c r="B100" s="55"/>
      <c r="C100" s="1" t="s">
        <v>13</v>
      </c>
      <c r="D100" s="14">
        <v>853947</v>
      </c>
    </row>
    <row r="101" spans="1:4" ht="15.75" thickBot="1">
      <c r="A101" s="52"/>
      <c r="B101" s="56"/>
      <c r="C101" s="2" t="s">
        <v>14</v>
      </c>
      <c r="D101" s="37">
        <f>D100/D99</f>
        <v>1.0630711716792214</v>
      </c>
    </row>
    <row r="102" spans="1:4">
      <c r="A102" s="52"/>
      <c r="B102" s="54" t="s">
        <v>7</v>
      </c>
      <c r="C102" s="3" t="s">
        <v>12</v>
      </c>
      <c r="D102" s="13">
        <v>0</v>
      </c>
    </row>
    <row r="103" spans="1:4">
      <c r="A103" s="52"/>
      <c r="B103" s="55"/>
      <c r="C103" s="1" t="s">
        <v>13</v>
      </c>
      <c r="D103" s="14">
        <v>0</v>
      </c>
    </row>
    <row r="104" spans="1:4" ht="15.75" thickBot="1">
      <c r="A104" s="52"/>
      <c r="B104" s="56"/>
      <c r="C104" s="2" t="s">
        <v>14</v>
      </c>
      <c r="D104" s="10" t="e">
        <f>D103/D102</f>
        <v>#DIV/0!</v>
      </c>
    </row>
    <row r="105" spans="1:4">
      <c r="A105" s="52"/>
      <c r="B105" s="54" t="s">
        <v>8</v>
      </c>
      <c r="C105" s="3" t="s">
        <v>12</v>
      </c>
      <c r="D105" s="13">
        <v>982026</v>
      </c>
    </row>
    <row r="106" spans="1:4">
      <c r="A106" s="52"/>
      <c r="B106" s="55"/>
      <c r="C106" s="1" t="s">
        <v>13</v>
      </c>
      <c r="D106" s="14">
        <v>985651</v>
      </c>
    </row>
    <row r="107" spans="1:4" ht="15.75" thickBot="1">
      <c r="A107" s="52"/>
      <c r="B107" s="56"/>
      <c r="C107" s="2" t="s">
        <v>14</v>
      </c>
      <c r="D107" s="46">
        <f>D106/D105</f>
        <v>1.0036913482942407</v>
      </c>
    </row>
    <row r="108" spans="1:4">
      <c r="A108" s="52"/>
      <c r="B108" s="57" t="s">
        <v>9</v>
      </c>
      <c r="C108" s="3" t="s">
        <v>12</v>
      </c>
      <c r="D108" s="11">
        <f>D87+D90+D93+D96+D99+D102+D105</f>
        <v>26401209</v>
      </c>
    </row>
    <row r="109" spans="1:4">
      <c r="A109" s="52"/>
      <c r="B109" s="58"/>
      <c r="C109" s="1" t="s">
        <v>13</v>
      </c>
      <c r="D109" s="14">
        <f>D88+D91+D94+D97+D100+D103+D106</f>
        <v>27307975</v>
      </c>
    </row>
    <row r="110" spans="1:4" ht="15.75" thickBot="1">
      <c r="A110" s="53"/>
      <c r="B110" s="59"/>
      <c r="C110" s="2" t="s">
        <v>14</v>
      </c>
      <c r="D110" s="21">
        <f>D109/D108</f>
        <v>1.0343456240962299</v>
      </c>
    </row>
    <row r="111" spans="1:4" ht="15.75" thickBot="1"/>
    <row r="112" spans="1:4" ht="15.75" thickBot="1">
      <c r="A112" s="4" t="s">
        <v>0</v>
      </c>
      <c r="B112" s="7" t="s">
        <v>10</v>
      </c>
      <c r="C112" s="5" t="s">
        <v>1</v>
      </c>
      <c r="D112" s="6" t="s">
        <v>11</v>
      </c>
    </row>
    <row r="113" spans="1:4">
      <c r="A113" s="51" t="s">
        <v>28</v>
      </c>
      <c r="B113" s="54" t="s">
        <v>2</v>
      </c>
      <c r="C113" s="3" t="s">
        <v>12</v>
      </c>
      <c r="D113" s="11">
        <v>19400901</v>
      </c>
    </row>
    <row r="114" spans="1:4">
      <c r="A114" s="52"/>
      <c r="B114" s="55"/>
      <c r="C114" s="1" t="s">
        <v>13</v>
      </c>
      <c r="D114" s="12">
        <v>19809987</v>
      </c>
    </row>
    <row r="115" spans="1:4" ht="15.75" thickBot="1">
      <c r="A115" s="52"/>
      <c r="B115" s="56"/>
      <c r="C115" s="2" t="s">
        <v>14</v>
      </c>
      <c r="D115" s="46">
        <f>D114/D113</f>
        <v>1.0210859279164406</v>
      </c>
    </row>
    <row r="116" spans="1:4">
      <c r="A116" s="52"/>
      <c r="B116" s="54" t="s">
        <v>3</v>
      </c>
      <c r="C116" s="3" t="s">
        <v>12</v>
      </c>
      <c r="D116" s="11">
        <v>2861534</v>
      </c>
    </row>
    <row r="117" spans="1:4">
      <c r="A117" s="52"/>
      <c r="B117" s="55"/>
      <c r="C117" s="1" t="s">
        <v>13</v>
      </c>
      <c r="D117" s="12">
        <v>3295860</v>
      </c>
    </row>
    <row r="118" spans="1:4" ht="15.75" thickBot="1">
      <c r="A118" s="52"/>
      <c r="B118" s="56"/>
      <c r="C118" s="2" t="s">
        <v>14</v>
      </c>
      <c r="D118" s="37">
        <f>D117/D116</f>
        <v>1.151780828045377</v>
      </c>
    </row>
    <row r="119" spans="1:4">
      <c r="A119" s="52"/>
      <c r="B119" s="54" t="s">
        <v>4</v>
      </c>
      <c r="C119" s="3" t="s">
        <v>12</v>
      </c>
      <c r="D119" s="11">
        <v>4188949</v>
      </c>
    </row>
    <row r="120" spans="1:4">
      <c r="A120" s="52"/>
      <c r="B120" s="55"/>
      <c r="C120" s="1" t="s">
        <v>13</v>
      </c>
      <c r="D120" s="12">
        <v>4048437</v>
      </c>
    </row>
    <row r="121" spans="1:4" ht="15.75" thickBot="1">
      <c r="A121" s="52"/>
      <c r="B121" s="56"/>
      <c r="C121" s="2" t="s">
        <v>14</v>
      </c>
      <c r="D121" s="46">
        <f>D120/D119</f>
        <v>0.96645650257379601</v>
      </c>
    </row>
    <row r="122" spans="1:4">
      <c r="A122" s="52"/>
      <c r="B122" s="54" t="s">
        <v>5</v>
      </c>
      <c r="C122" s="3" t="s">
        <v>12</v>
      </c>
      <c r="D122" s="13">
        <v>1440530</v>
      </c>
    </row>
    <row r="123" spans="1:4">
      <c r="A123" s="52"/>
      <c r="B123" s="55"/>
      <c r="C123" s="1" t="s">
        <v>13</v>
      </c>
      <c r="D123" s="14">
        <v>1585500</v>
      </c>
    </row>
    <row r="124" spans="1:4" ht="15.75" thickBot="1">
      <c r="A124" s="52"/>
      <c r="B124" s="56"/>
      <c r="C124" s="2" t="s">
        <v>14</v>
      </c>
      <c r="D124" s="37">
        <f>D123/D122</f>
        <v>1.1006365712619661</v>
      </c>
    </row>
    <row r="125" spans="1:4">
      <c r="A125" s="52"/>
      <c r="B125" s="54" t="s">
        <v>6</v>
      </c>
      <c r="C125" s="3" t="s">
        <v>12</v>
      </c>
      <c r="D125" s="13">
        <v>3103605</v>
      </c>
    </row>
    <row r="126" spans="1:4">
      <c r="A126" s="52"/>
      <c r="B126" s="55"/>
      <c r="C126" s="1" t="s">
        <v>13</v>
      </c>
      <c r="D126" s="14">
        <v>3195756</v>
      </c>
    </row>
    <row r="127" spans="1:4" ht="15.75" thickBot="1">
      <c r="A127" s="52"/>
      <c r="B127" s="56"/>
      <c r="C127" s="2" t="s">
        <v>14</v>
      </c>
      <c r="D127" s="10">
        <f>D126/D125</f>
        <v>1.029691600574171</v>
      </c>
    </row>
    <row r="128" spans="1:4">
      <c r="A128" s="52"/>
      <c r="B128" s="54" t="s">
        <v>7</v>
      </c>
      <c r="C128" s="3" t="s">
        <v>12</v>
      </c>
      <c r="D128" s="13">
        <v>10033</v>
      </c>
    </row>
    <row r="129" spans="1:4">
      <c r="A129" s="52"/>
      <c r="B129" s="55"/>
      <c r="C129" s="1" t="s">
        <v>13</v>
      </c>
      <c r="D129" s="14">
        <v>2924</v>
      </c>
    </row>
    <row r="130" spans="1:4" ht="15.75" thickBot="1">
      <c r="A130" s="52"/>
      <c r="B130" s="56"/>
      <c r="C130" s="2" t="s">
        <v>14</v>
      </c>
      <c r="D130" s="46">
        <f>D129/D128</f>
        <v>0.29143825376258348</v>
      </c>
    </row>
    <row r="131" spans="1:4">
      <c r="A131" s="52"/>
      <c r="B131" s="54" t="s">
        <v>8</v>
      </c>
      <c r="C131" s="3" t="s">
        <v>12</v>
      </c>
      <c r="D131" s="13">
        <v>102</v>
      </c>
    </row>
    <row r="132" spans="1:4">
      <c r="A132" s="52"/>
      <c r="B132" s="55"/>
      <c r="C132" s="1" t="s">
        <v>13</v>
      </c>
      <c r="D132" s="14">
        <v>2120</v>
      </c>
    </row>
    <row r="133" spans="1:4" ht="15.75" thickBot="1">
      <c r="A133" s="52"/>
      <c r="B133" s="56"/>
      <c r="C133" s="2" t="s">
        <v>14</v>
      </c>
      <c r="D133" s="10">
        <f>D132/D131</f>
        <v>20.784313725490197</v>
      </c>
    </row>
    <row r="134" spans="1:4">
      <c r="A134" s="52"/>
      <c r="B134" s="57" t="s">
        <v>9</v>
      </c>
      <c r="C134" s="3" t="s">
        <v>12</v>
      </c>
      <c r="D134" s="11">
        <f>D113+D116+D119+D122+D125+D128+D131</f>
        <v>31005654</v>
      </c>
    </row>
    <row r="135" spans="1:4">
      <c r="A135" s="52"/>
      <c r="B135" s="58"/>
      <c r="C135" s="1" t="s">
        <v>13</v>
      </c>
      <c r="D135" s="14">
        <f>D114+D117+D120+D123+D126+D129+D132</f>
        <v>31940584</v>
      </c>
    </row>
    <row r="136" spans="1:4" ht="15.75" thickBot="1">
      <c r="A136" s="53"/>
      <c r="B136" s="59"/>
      <c r="C136" s="2" t="s">
        <v>14</v>
      </c>
      <c r="D136" s="21">
        <f>D135/D134</f>
        <v>1.0301535326427884</v>
      </c>
    </row>
    <row r="137" spans="1:4" ht="15.75" thickBot="1"/>
    <row r="138" spans="1:4" ht="15.75" thickBot="1">
      <c r="A138" s="16" t="s">
        <v>0</v>
      </c>
      <c r="B138" s="17" t="s">
        <v>10</v>
      </c>
      <c r="C138" s="18" t="s">
        <v>1</v>
      </c>
      <c r="D138" s="6" t="s">
        <v>15</v>
      </c>
    </row>
    <row r="139" spans="1:4">
      <c r="A139" s="51" t="s">
        <v>29</v>
      </c>
      <c r="B139" s="54" t="s">
        <v>2</v>
      </c>
      <c r="C139" s="3" t="s">
        <v>12</v>
      </c>
      <c r="D139" s="19">
        <f>42935041.5*3</f>
        <v>128805124.5</v>
      </c>
    </row>
    <row r="140" spans="1:4">
      <c r="A140" s="52"/>
      <c r="B140" s="55"/>
      <c r="C140" s="1" t="s">
        <v>13</v>
      </c>
      <c r="D140" s="20">
        <f>43465897*3</f>
        <v>130397691</v>
      </c>
    </row>
    <row r="141" spans="1:4" ht="15.75" thickBot="1">
      <c r="A141" s="52"/>
      <c r="B141" s="56"/>
      <c r="C141" s="2" t="s">
        <v>16</v>
      </c>
      <c r="D141" s="46">
        <f>D140/D139</f>
        <v>1.0123641548128002</v>
      </c>
    </row>
    <row r="142" spans="1:4">
      <c r="A142" s="52"/>
      <c r="B142" s="54" t="s">
        <v>3</v>
      </c>
      <c r="C142" s="3" t="s">
        <v>12</v>
      </c>
      <c r="D142" s="19">
        <f>5650249.59*3</f>
        <v>16950748.77</v>
      </c>
    </row>
    <row r="143" spans="1:4">
      <c r="A143" s="52"/>
      <c r="B143" s="55"/>
      <c r="C143" s="1" t="s">
        <v>13</v>
      </c>
      <c r="D143" s="20">
        <f>5887972*3</f>
        <v>17663916</v>
      </c>
    </row>
    <row r="144" spans="1:4" ht="15.75" thickBot="1">
      <c r="A144" s="52"/>
      <c r="B144" s="56"/>
      <c r="C144" s="2" t="s">
        <v>16</v>
      </c>
      <c r="D144" s="21">
        <f>D143/D142</f>
        <v>1.0420729042520049</v>
      </c>
    </row>
    <row r="145" spans="1:4">
      <c r="A145" s="52"/>
      <c r="B145" s="54" t="s">
        <v>4</v>
      </c>
      <c r="C145" s="3" t="s">
        <v>12</v>
      </c>
      <c r="D145" s="19">
        <f>3735762.5*3</f>
        <v>11207287.5</v>
      </c>
    </row>
    <row r="146" spans="1:4">
      <c r="A146" s="52"/>
      <c r="B146" s="55"/>
      <c r="C146" s="1" t="s">
        <v>13</v>
      </c>
      <c r="D146" s="20">
        <f>4150212*3</f>
        <v>12450636</v>
      </c>
    </row>
    <row r="147" spans="1:4" ht="15.75" thickBot="1">
      <c r="A147" s="52"/>
      <c r="B147" s="56"/>
      <c r="C147" s="2" t="s">
        <v>16</v>
      </c>
      <c r="D147" s="37">
        <f>D146/D145</f>
        <v>1.1109410729402631</v>
      </c>
    </row>
    <row r="148" spans="1:4">
      <c r="A148" s="52"/>
      <c r="B148" s="54" t="s">
        <v>5</v>
      </c>
      <c r="C148" s="3" t="s">
        <v>12</v>
      </c>
      <c r="D148" s="13">
        <f>2618999.5*3</f>
        <v>7856998.5</v>
      </c>
    </row>
    <row r="149" spans="1:4">
      <c r="A149" s="52"/>
      <c r="B149" s="55"/>
      <c r="C149" s="1" t="s">
        <v>13</v>
      </c>
      <c r="D149" s="14">
        <f>2919217*3+23752</f>
        <v>8781403</v>
      </c>
    </row>
    <row r="150" spans="1:4" ht="15.75" thickBot="1">
      <c r="A150" s="52"/>
      <c r="B150" s="56"/>
      <c r="C150" s="2" t="s">
        <v>16</v>
      </c>
      <c r="D150" s="37">
        <f>D149/D148</f>
        <v>1.1176536434364852</v>
      </c>
    </row>
    <row r="151" spans="1:4">
      <c r="A151" s="52"/>
      <c r="B151" s="54" t="s">
        <v>6</v>
      </c>
      <c r="C151" s="3" t="s">
        <v>12</v>
      </c>
      <c r="D151" s="13">
        <f>3612589.17*3</f>
        <v>10837767.51</v>
      </c>
    </row>
    <row r="152" spans="1:4">
      <c r="A152" s="52"/>
      <c r="B152" s="55"/>
      <c r="C152" s="1" t="s">
        <v>13</v>
      </c>
      <c r="D152" s="14">
        <f>3595547*3+27030</f>
        <v>10813671</v>
      </c>
    </row>
    <row r="153" spans="1:4" ht="15.75" thickBot="1">
      <c r="A153" s="52"/>
      <c r="B153" s="56"/>
      <c r="C153" s="2" t="s">
        <v>16</v>
      </c>
      <c r="D153" s="46">
        <f>D152/D151</f>
        <v>0.997776616819122</v>
      </c>
    </row>
    <row r="154" spans="1:4">
      <c r="A154" s="52"/>
      <c r="B154" s="54" t="s">
        <v>7</v>
      </c>
      <c r="C154" s="3" t="s">
        <v>12</v>
      </c>
      <c r="D154" s="13" t="s">
        <v>17</v>
      </c>
    </row>
    <row r="155" spans="1:4">
      <c r="A155" s="52"/>
      <c r="B155" s="55"/>
      <c r="C155" s="1" t="s">
        <v>13</v>
      </c>
      <c r="D155" s="14" t="s">
        <v>17</v>
      </c>
    </row>
    <row r="156" spans="1:4" ht="15.75" thickBot="1">
      <c r="A156" s="52"/>
      <c r="B156" s="56"/>
      <c r="C156" s="2" t="s">
        <v>16</v>
      </c>
      <c r="D156" s="21"/>
    </row>
    <row r="157" spans="1:4">
      <c r="A157" s="52"/>
      <c r="B157" s="54" t="s">
        <v>8</v>
      </c>
      <c r="C157" s="3" t="s">
        <v>12</v>
      </c>
      <c r="D157" s="13" t="s">
        <v>17</v>
      </c>
    </row>
    <row r="158" spans="1:4">
      <c r="A158" s="52"/>
      <c r="B158" s="55"/>
      <c r="C158" s="1" t="s">
        <v>13</v>
      </c>
      <c r="D158" s="14" t="s">
        <v>17</v>
      </c>
    </row>
    <row r="159" spans="1:4" ht="15.75" thickBot="1">
      <c r="A159" s="52"/>
      <c r="B159" s="56"/>
      <c r="C159" s="2" t="s">
        <v>16</v>
      </c>
      <c r="D159" s="21"/>
    </row>
    <row r="160" spans="1:4">
      <c r="A160" s="52"/>
      <c r="B160" s="60" t="s">
        <v>9</v>
      </c>
      <c r="C160" s="3" t="s">
        <v>12</v>
      </c>
      <c r="D160" s="19">
        <f>D139+D142+D145+D148+D151</f>
        <v>175657926.78</v>
      </c>
    </row>
    <row r="161" spans="1:4">
      <c r="A161" s="52"/>
      <c r="B161" s="61"/>
      <c r="C161" s="1" t="s">
        <v>13</v>
      </c>
      <c r="D161" s="14">
        <f>D140+D143+D146+D149+D152</f>
        <v>180107317</v>
      </c>
    </row>
    <row r="162" spans="1:4" ht="15.75" thickBot="1">
      <c r="A162" s="53"/>
      <c r="B162" s="62"/>
      <c r="C162" s="2" t="s">
        <v>16</v>
      </c>
      <c r="D162" s="46">
        <f>D161/D160</f>
        <v>1.0253298573059704</v>
      </c>
    </row>
    <row r="163" spans="1:4" ht="15.75" thickBot="1"/>
    <row r="164" spans="1:4" ht="15.75" thickBot="1">
      <c r="A164" s="4" t="s">
        <v>0</v>
      </c>
      <c r="B164" s="7" t="s">
        <v>10</v>
      </c>
      <c r="C164" s="5" t="s">
        <v>1</v>
      </c>
      <c r="D164" s="6" t="s">
        <v>11</v>
      </c>
    </row>
    <row r="165" spans="1:4">
      <c r="A165" s="63" t="s">
        <v>30</v>
      </c>
      <c r="B165" s="54" t="s">
        <v>2</v>
      </c>
      <c r="C165" s="3" t="s">
        <v>12</v>
      </c>
      <c r="D165" s="11">
        <f>25966989+103860+384999</f>
        <v>26455848</v>
      </c>
    </row>
    <row r="166" spans="1:4">
      <c r="A166" s="64"/>
      <c r="B166" s="55"/>
      <c r="C166" s="1" t="s">
        <v>13</v>
      </c>
      <c r="D166" s="12">
        <v>26759403</v>
      </c>
    </row>
    <row r="167" spans="1:4" ht="15.75" thickBot="1">
      <c r="A167" s="64"/>
      <c r="B167" s="56"/>
      <c r="C167" s="2" t="s">
        <v>14</v>
      </c>
      <c r="D167" s="46">
        <f>D166/D165</f>
        <v>1.0114740226811101</v>
      </c>
    </row>
    <row r="168" spans="1:4">
      <c r="A168" s="64"/>
      <c r="B168" s="54" t="s">
        <v>3</v>
      </c>
      <c r="C168" s="3" t="s">
        <v>12</v>
      </c>
      <c r="D168" s="11">
        <f>3555900+15390+22371</f>
        <v>3593661</v>
      </c>
    </row>
    <row r="169" spans="1:4">
      <c r="A169" s="64"/>
      <c r="B169" s="55"/>
      <c r="C169" s="1" t="s">
        <v>13</v>
      </c>
      <c r="D169" s="12">
        <v>3877980</v>
      </c>
    </row>
    <row r="170" spans="1:4" ht="15.75" thickBot="1">
      <c r="A170" s="64"/>
      <c r="B170" s="56"/>
      <c r="C170" s="2" t="s">
        <v>14</v>
      </c>
      <c r="D170" s="37">
        <f>D169/D168</f>
        <v>1.0791168115189496</v>
      </c>
    </row>
    <row r="171" spans="1:4">
      <c r="A171" s="64"/>
      <c r="B171" s="54" t="s">
        <v>4</v>
      </c>
      <c r="C171" s="3" t="s">
        <v>12</v>
      </c>
      <c r="D171" s="11">
        <f>13488000+38070+173400</f>
        <v>13699470</v>
      </c>
    </row>
    <row r="172" spans="1:4">
      <c r="A172" s="64"/>
      <c r="B172" s="55"/>
      <c r="C172" s="1" t="s">
        <v>13</v>
      </c>
      <c r="D172" s="12">
        <v>13410489</v>
      </c>
    </row>
    <row r="173" spans="1:4" ht="15.75" thickBot="1">
      <c r="A173" s="64"/>
      <c r="B173" s="56"/>
      <c r="C173" s="2" t="s">
        <v>14</v>
      </c>
      <c r="D173" s="46">
        <f>D172/D171</f>
        <v>0.97890568029274128</v>
      </c>
    </row>
    <row r="174" spans="1:4">
      <c r="A174" s="64"/>
      <c r="B174" s="54" t="s">
        <v>5</v>
      </c>
      <c r="C174" s="3" t="s">
        <v>12</v>
      </c>
      <c r="D174" s="13">
        <f>796656+3000+6174</f>
        <v>805830</v>
      </c>
    </row>
    <row r="175" spans="1:4">
      <c r="A175" s="64"/>
      <c r="B175" s="55"/>
      <c r="C175" s="1" t="s">
        <v>13</v>
      </c>
      <c r="D175" s="14">
        <v>889482</v>
      </c>
    </row>
    <row r="176" spans="1:4" ht="15.75" thickBot="1">
      <c r="A176" s="64"/>
      <c r="B176" s="56"/>
      <c r="C176" s="2" t="s">
        <v>14</v>
      </c>
      <c r="D176" s="37">
        <f>D175/D174</f>
        <v>1.1038084955883996</v>
      </c>
    </row>
    <row r="177" spans="1:4">
      <c r="A177" s="64"/>
      <c r="B177" s="54" t="s">
        <v>6</v>
      </c>
      <c r="C177" s="3" t="s">
        <v>12</v>
      </c>
      <c r="D177" s="13">
        <f>496061+2520+4374</f>
        <v>502955</v>
      </c>
    </row>
    <row r="178" spans="1:4">
      <c r="A178" s="64"/>
      <c r="B178" s="55"/>
      <c r="C178" s="1" t="s">
        <v>13</v>
      </c>
      <c r="D178" s="14">
        <v>497931</v>
      </c>
    </row>
    <row r="179" spans="1:4" ht="15.75" thickBot="1">
      <c r="A179" s="64"/>
      <c r="B179" s="56"/>
      <c r="C179" s="2" t="s">
        <v>14</v>
      </c>
      <c r="D179" s="46">
        <f>D178/D177</f>
        <v>0.99001103478442409</v>
      </c>
    </row>
    <row r="180" spans="1:4">
      <c r="A180" s="64"/>
      <c r="B180" s="54" t="s">
        <v>7</v>
      </c>
      <c r="C180" s="3" t="s">
        <v>12</v>
      </c>
      <c r="D180" s="13">
        <f>38549930+135660+312474</f>
        <v>38998064</v>
      </c>
    </row>
    <row r="181" spans="1:4">
      <c r="A181" s="64"/>
      <c r="B181" s="55"/>
      <c r="C181" s="1" t="s">
        <v>13</v>
      </c>
      <c r="D181" s="14">
        <v>39921000</v>
      </c>
    </row>
    <row r="182" spans="1:4" ht="15.75" thickBot="1">
      <c r="A182" s="64"/>
      <c r="B182" s="56"/>
      <c r="C182" s="2" t="s">
        <v>14</v>
      </c>
      <c r="D182" s="46">
        <f>D181/D180</f>
        <v>1.0236662004554893</v>
      </c>
    </row>
    <row r="183" spans="1:4">
      <c r="A183" s="64"/>
      <c r="B183" s="54" t="s">
        <v>8</v>
      </c>
      <c r="C183" s="3" t="s">
        <v>12</v>
      </c>
      <c r="D183" s="13">
        <v>0</v>
      </c>
    </row>
    <row r="184" spans="1:4">
      <c r="A184" s="64"/>
      <c r="B184" s="55"/>
      <c r="C184" s="1" t="s">
        <v>13</v>
      </c>
      <c r="D184" s="14">
        <v>0</v>
      </c>
    </row>
    <row r="185" spans="1:4" ht="15.75" thickBot="1">
      <c r="A185" s="64"/>
      <c r="B185" s="56"/>
      <c r="C185" s="2" t="s">
        <v>14</v>
      </c>
      <c r="D185" s="10" t="e">
        <f>D184/D183</f>
        <v>#DIV/0!</v>
      </c>
    </row>
    <row r="186" spans="1:4">
      <c r="A186" s="64"/>
      <c r="B186" s="57" t="s">
        <v>9</v>
      </c>
      <c r="C186" s="3" t="s">
        <v>12</v>
      </c>
      <c r="D186" s="11">
        <f>D165+D168+D171+D174+D177+D180+D183</f>
        <v>84055828</v>
      </c>
    </row>
    <row r="187" spans="1:4">
      <c r="A187" s="64"/>
      <c r="B187" s="58"/>
      <c r="C187" s="1" t="s">
        <v>13</v>
      </c>
      <c r="D187" s="14">
        <f>D166+D169+D172+D175+D178+D181+D184</f>
        <v>85356285</v>
      </c>
    </row>
    <row r="188" spans="1:4" ht="15.75" thickBot="1">
      <c r="A188" s="65"/>
      <c r="B188" s="59"/>
      <c r="C188" s="2" t="s">
        <v>14</v>
      </c>
      <c r="D188" s="46">
        <f>D187/D186</f>
        <v>1.0154713483995423</v>
      </c>
    </row>
    <row r="189" spans="1:4" ht="15.75" thickBot="1"/>
    <row r="190" spans="1:4" ht="15.75" thickBot="1">
      <c r="A190" s="4" t="s">
        <v>0</v>
      </c>
      <c r="B190" s="7" t="s">
        <v>10</v>
      </c>
      <c r="C190" s="5" t="s">
        <v>1</v>
      </c>
      <c r="D190" s="6" t="s">
        <v>11</v>
      </c>
    </row>
    <row r="191" spans="1:4">
      <c r="A191" s="63" t="s">
        <v>31</v>
      </c>
      <c r="B191" s="54" t="s">
        <v>2</v>
      </c>
      <c r="C191" s="3" t="s">
        <v>12</v>
      </c>
      <c r="D191" s="11">
        <v>188582358.75</v>
      </c>
    </row>
    <row r="192" spans="1:4">
      <c r="A192" s="64"/>
      <c r="B192" s="55"/>
      <c r="C192" s="1" t="s">
        <v>13</v>
      </c>
      <c r="D192" s="12">
        <v>189125265.15140009</v>
      </c>
    </row>
    <row r="193" spans="1:4" ht="15.75" thickBot="1">
      <c r="A193" s="64"/>
      <c r="B193" s="56"/>
      <c r="C193" s="2" t="s">
        <v>14</v>
      </c>
      <c r="D193" s="46">
        <f>D192/D191</f>
        <v>1.002878882229487</v>
      </c>
    </row>
    <row r="194" spans="1:4">
      <c r="A194" s="64"/>
      <c r="B194" s="54" t="s">
        <v>3</v>
      </c>
      <c r="C194" s="3" t="s">
        <v>12</v>
      </c>
      <c r="D194" s="11">
        <v>12512600.000000009</v>
      </c>
    </row>
    <row r="195" spans="1:4">
      <c r="A195" s="64"/>
      <c r="B195" s="55"/>
      <c r="C195" s="1" t="s">
        <v>13</v>
      </c>
      <c r="D195" s="12">
        <v>13134865.54231314</v>
      </c>
    </row>
    <row r="196" spans="1:4" ht="15.75" thickBot="1">
      <c r="A196" s="64"/>
      <c r="B196" s="56"/>
      <c r="C196" s="2" t="s">
        <v>14</v>
      </c>
      <c r="D196" s="37">
        <f>D195/D194</f>
        <v>1.0497311144217134</v>
      </c>
    </row>
    <row r="197" spans="1:4">
      <c r="A197" s="64"/>
      <c r="B197" s="54" t="s">
        <v>4</v>
      </c>
      <c r="C197" s="3" t="s">
        <v>12</v>
      </c>
      <c r="D197" s="11">
        <v>7983000</v>
      </c>
    </row>
    <row r="198" spans="1:4">
      <c r="A198" s="64"/>
      <c r="B198" s="55"/>
      <c r="C198" s="1" t="s">
        <v>13</v>
      </c>
      <c r="D198" s="12">
        <v>8867270.43376128</v>
      </c>
    </row>
    <row r="199" spans="1:4" ht="15.75" thickBot="1">
      <c r="A199" s="64"/>
      <c r="B199" s="56"/>
      <c r="C199" s="2" t="s">
        <v>14</v>
      </c>
      <c r="D199" s="37">
        <f>D198/D197</f>
        <v>1.1107691887462459</v>
      </c>
    </row>
    <row r="200" spans="1:4">
      <c r="A200" s="64"/>
      <c r="B200" s="54" t="s">
        <v>5</v>
      </c>
      <c r="C200" s="3" t="s">
        <v>12</v>
      </c>
      <c r="D200" s="13">
        <v>4131988.3011574503</v>
      </c>
    </row>
    <row r="201" spans="1:4">
      <c r="A201" s="64"/>
      <c r="B201" s="55"/>
      <c r="C201" s="1" t="s">
        <v>13</v>
      </c>
      <c r="D201" s="14">
        <v>4221766.7272950299</v>
      </c>
    </row>
    <row r="202" spans="1:4" ht="15.75" thickBot="1">
      <c r="A202" s="64"/>
      <c r="B202" s="56"/>
      <c r="C202" s="2" t="s">
        <v>14</v>
      </c>
      <c r="D202" s="46">
        <f>D201/D200</f>
        <v>1.0217276573877112</v>
      </c>
    </row>
    <row r="203" spans="1:4">
      <c r="A203" s="64"/>
      <c r="B203" s="54" t="s">
        <v>6</v>
      </c>
      <c r="C203" s="3" t="s">
        <v>12</v>
      </c>
      <c r="D203" s="13">
        <v>3216351.1323995404</v>
      </c>
    </row>
    <row r="204" spans="1:4">
      <c r="A204" s="64"/>
      <c r="B204" s="55"/>
      <c r="C204" s="1" t="s">
        <v>13</v>
      </c>
      <c r="D204" s="14">
        <v>3275005.9563609594</v>
      </c>
    </row>
    <row r="205" spans="1:4" ht="15.75" thickBot="1">
      <c r="A205" s="64"/>
      <c r="B205" s="56"/>
      <c r="C205" s="2" t="s">
        <v>14</v>
      </c>
      <c r="D205" s="46">
        <f>D204/D203</f>
        <v>1.0182364491770088</v>
      </c>
    </row>
    <row r="206" spans="1:4">
      <c r="A206" s="64"/>
      <c r="B206" s="54" t="s">
        <v>7</v>
      </c>
      <c r="C206" s="3" t="s">
        <v>12</v>
      </c>
      <c r="D206" s="13"/>
    </row>
    <row r="207" spans="1:4">
      <c r="A207" s="64"/>
      <c r="B207" s="55"/>
      <c r="C207" s="1" t="s">
        <v>13</v>
      </c>
      <c r="D207" s="14"/>
    </row>
    <row r="208" spans="1:4" ht="15.75" thickBot="1">
      <c r="A208" s="64"/>
      <c r="B208" s="56"/>
      <c r="C208" s="2" t="s">
        <v>14</v>
      </c>
      <c r="D208" s="10" t="e">
        <f>D207/D206</f>
        <v>#DIV/0!</v>
      </c>
    </row>
    <row r="209" spans="1:4">
      <c r="A209" s="64"/>
      <c r="B209" s="54" t="s">
        <v>8</v>
      </c>
      <c r="C209" s="3" t="s">
        <v>12</v>
      </c>
      <c r="D209" s="13"/>
    </row>
    <row r="210" spans="1:4">
      <c r="A210" s="64"/>
      <c r="B210" s="55"/>
      <c r="C210" s="1" t="s">
        <v>13</v>
      </c>
      <c r="D210" s="14"/>
    </row>
    <row r="211" spans="1:4" ht="15.75" thickBot="1">
      <c r="A211" s="64"/>
      <c r="B211" s="56"/>
      <c r="C211" s="2" t="s">
        <v>14</v>
      </c>
      <c r="D211" s="10" t="e">
        <f>D210/D209</f>
        <v>#DIV/0!</v>
      </c>
    </row>
    <row r="212" spans="1:4">
      <c r="A212" s="64"/>
      <c r="B212" s="57" t="s">
        <v>9</v>
      </c>
      <c r="C212" s="3" t="s">
        <v>12</v>
      </c>
      <c r="D212" s="11">
        <f>D191+D194+D197+D200+D203+D206+D209</f>
        <v>216426298.18355697</v>
      </c>
    </row>
    <row r="213" spans="1:4">
      <c r="A213" s="64"/>
      <c r="B213" s="58"/>
      <c r="C213" s="1" t="s">
        <v>13</v>
      </c>
      <c r="D213" s="14">
        <f>D192+D195+D198+D201+D204+D207+D210</f>
        <v>218624173.81113049</v>
      </c>
    </row>
    <row r="214" spans="1:4" ht="15.75" thickBot="1">
      <c r="A214" s="65"/>
      <c r="B214" s="59"/>
      <c r="C214" s="2" t="s">
        <v>14</v>
      </c>
      <c r="D214" s="46">
        <f>D213/D212</f>
        <v>1.010155307585169</v>
      </c>
    </row>
    <row r="215" spans="1:4" ht="15.75" thickBot="1"/>
    <row r="216" spans="1:4" ht="15.75" thickBot="1">
      <c r="A216" s="4" t="s">
        <v>0</v>
      </c>
      <c r="B216" s="7" t="s">
        <v>10</v>
      </c>
      <c r="C216" s="5" t="s">
        <v>1</v>
      </c>
      <c r="D216" s="6" t="s">
        <v>11</v>
      </c>
    </row>
    <row r="217" spans="1:4">
      <c r="A217" s="63" t="s">
        <v>32</v>
      </c>
      <c r="B217" s="54" t="s">
        <v>2</v>
      </c>
      <c r="C217" s="3" t="s">
        <v>12</v>
      </c>
      <c r="D217" s="11">
        <f>4273393*3+88700*3+35310*3</f>
        <v>13192209</v>
      </c>
    </row>
    <row r="218" spans="1:4">
      <c r="A218" s="64"/>
      <c r="B218" s="55"/>
      <c r="C218" s="1" t="s">
        <v>13</v>
      </c>
      <c r="D218" s="12">
        <f>4500413*3</f>
        <v>13501239</v>
      </c>
    </row>
    <row r="219" spans="1:4" ht="15.75" thickBot="1">
      <c r="A219" s="64"/>
      <c r="B219" s="56"/>
      <c r="C219" s="2" t="s">
        <v>14</v>
      </c>
      <c r="D219" s="46">
        <f>D218/D217</f>
        <v>1.0234251898222655</v>
      </c>
    </row>
    <row r="220" spans="1:4">
      <c r="A220" s="64"/>
      <c r="B220" s="54" t="s">
        <v>3</v>
      </c>
      <c r="C220" s="3" t="s">
        <v>12</v>
      </c>
      <c r="D220" s="11">
        <f>432100*3+7670*3+4120*3</f>
        <v>1331670</v>
      </c>
    </row>
    <row r="221" spans="1:4">
      <c r="A221" s="64"/>
      <c r="B221" s="55"/>
      <c r="C221" s="1" t="s">
        <v>13</v>
      </c>
      <c r="D221" s="12">
        <f>464940*3</f>
        <v>1394820</v>
      </c>
    </row>
    <row r="222" spans="1:4" ht="15.75" thickBot="1">
      <c r="A222" s="64"/>
      <c r="B222" s="56"/>
      <c r="C222" s="2" t="s">
        <v>14</v>
      </c>
      <c r="D222" s="10">
        <f>D221/D220</f>
        <v>1.0474216585190024</v>
      </c>
    </row>
    <row r="223" spans="1:4">
      <c r="A223" s="64"/>
      <c r="B223" s="54" t="s">
        <v>4</v>
      </c>
      <c r="C223" s="3" t="s">
        <v>12</v>
      </c>
      <c r="D223" s="11">
        <f>138000*3+3650*3+1172*3</f>
        <v>428466</v>
      </c>
    </row>
    <row r="224" spans="1:4">
      <c r="A224" s="64"/>
      <c r="B224" s="55"/>
      <c r="C224" s="1" t="s">
        <v>13</v>
      </c>
      <c r="D224" s="12">
        <f>170477*3</f>
        <v>511431</v>
      </c>
    </row>
    <row r="225" spans="1:4" ht="15.75" thickBot="1">
      <c r="A225" s="64"/>
      <c r="B225" s="56"/>
      <c r="C225" s="2" t="s">
        <v>14</v>
      </c>
      <c r="D225" s="37">
        <f>D224/D223</f>
        <v>1.1936326336278724</v>
      </c>
    </row>
    <row r="226" spans="1:4">
      <c r="A226" s="64"/>
      <c r="B226" s="54" t="s">
        <v>5</v>
      </c>
      <c r="C226" s="3" t="s">
        <v>12</v>
      </c>
      <c r="D226" s="13">
        <f>121991*3+3417*3+2038*3</f>
        <v>382338</v>
      </c>
    </row>
    <row r="227" spans="1:4">
      <c r="A227" s="64"/>
      <c r="B227" s="55"/>
      <c r="C227" s="1" t="s">
        <v>13</v>
      </c>
      <c r="D227" s="14">
        <f>131883*3+2400+2280+1950</f>
        <v>402279</v>
      </c>
    </row>
    <row r="228" spans="1:4" ht="15.75" thickBot="1">
      <c r="A228" s="64"/>
      <c r="B228" s="56"/>
      <c r="C228" s="2" t="s">
        <v>14</v>
      </c>
      <c r="D228" s="37">
        <f>D227/D226</f>
        <v>1.052155422688825</v>
      </c>
    </row>
    <row r="229" spans="1:4">
      <c r="A229" s="64"/>
      <c r="B229" s="54" t="s">
        <v>6</v>
      </c>
      <c r="C229" s="3" t="s">
        <v>12</v>
      </c>
      <c r="D229" s="13">
        <f>134254*3+3042*3+1670*3</f>
        <v>416898</v>
      </c>
    </row>
    <row r="230" spans="1:4">
      <c r="A230" s="64"/>
      <c r="B230" s="55"/>
      <c r="C230" s="1" t="s">
        <v>13</v>
      </c>
      <c r="D230" s="14">
        <f>145374*3+2490+1650+2490</f>
        <v>442752</v>
      </c>
    </row>
    <row r="231" spans="1:4" ht="15.75" thickBot="1">
      <c r="A231" s="64"/>
      <c r="B231" s="56"/>
      <c r="C231" s="2" t="s">
        <v>14</v>
      </c>
      <c r="D231" s="37">
        <f>D230/D229</f>
        <v>1.0620151691780724</v>
      </c>
    </row>
    <row r="232" spans="1:4">
      <c r="A232" s="64"/>
      <c r="B232" s="54" t="s">
        <v>7</v>
      </c>
      <c r="C232" s="3" t="s">
        <v>12</v>
      </c>
      <c r="D232" s="13"/>
    </row>
    <row r="233" spans="1:4">
      <c r="A233" s="64"/>
      <c r="B233" s="55"/>
      <c r="C233" s="1" t="s">
        <v>13</v>
      </c>
      <c r="D233" s="14"/>
    </row>
    <row r="234" spans="1:4" ht="15.75" thickBot="1">
      <c r="A234" s="64"/>
      <c r="B234" s="56"/>
      <c r="C234" s="2" t="s">
        <v>14</v>
      </c>
      <c r="D234" s="10" t="e">
        <f>D233/D232</f>
        <v>#DIV/0!</v>
      </c>
    </row>
    <row r="235" spans="1:4">
      <c r="A235" s="64"/>
      <c r="B235" s="54" t="s">
        <v>8</v>
      </c>
      <c r="C235" s="3" t="s">
        <v>12</v>
      </c>
      <c r="D235" s="13"/>
    </row>
    <row r="236" spans="1:4">
      <c r="A236" s="64"/>
      <c r="B236" s="55"/>
      <c r="C236" s="1" t="s">
        <v>13</v>
      </c>
      <c r="D236" s="14"/>
    </row>
    <row r="237" spans="1:4" ht="15.75" thickBot="1">
      <c r="A237" s="64"/>
      <c r="B237" s="56"/>
      <c r="C237" s="2" t="s">
        <v>14</v>
      </c>
      <c r="D237" s="10" t="e">
        <f>D236/D235</f>
        <v>#DIV/0!</v>
      </c>
    </row>
    <row r="238" spans="1:4">
      <c r="A238" s="64"/>
      <c r="B238" s="57" t="s">
        <v>9</v>
      </c>
      <c r="C238" s="3" t="s">
        <v>12</v>
      </c>
      <c r="D238" s="11">
        <f>D217+D220+D223+D226+D229+D232+D235</f>
        <v>15751581</v>
      </c>
    </row>
    <row r="239" spans="1:4">
      <c r="A239" s="64"/>
      <c r="B239" s="58"/>
      <c r="C239" s="1" t="s">
        <v>13</v>
      </c>
      <c r="D239" s="14">
        <f>D218+D221+D224+D227+D230+D233+D236</f>
        <v>16252521</v>
      </c>
    </row>
    <row r="240" spans="1:4" ht="15.75" thickBot="1">
      <c r="A240" s="65"/>
      <c r="B240" s="59"/>
      <c r="C240" s="2" t="s">
        <v>14</v>
      </c>
      <c r="D240" s="21">
        <f>D239/D238</f>
        <v>1.031802521918276</v>
      </c>
    </row>
    <row r="241" spans="1:4" ht="15.75" thickBot="1"/>
    <row r="242" spans="1:4" ht="15.75" thickBot="1">
      <c r="A242" s="4" t="s">
        <v>0</v>
      </c>
      <c r="B242" s="7" t="s">
        <v>10</v>
      </c>
      <c r="C242" s="5" t="s">
        <v>1</v>
      </c>
      <c r="D242" s="6" t="s">
        <v>11</v>
      </c>
    </row>
    <row r="243" spans="1:4">
      <c r="A243" s="51" t="s">
        <v>33</v>
      </c>
      <c r="B243" s="54" t="s">
        <v>2</v>
      </c>
      <c r="C243" s="3" t="s">
        <v>12</v>
      </c>
      <c r="D243" s="11">
        <f>19398912+274560+1129000</f>
        <v>20802472</v>
      </c>
    </row>
    <row r="244" spans="1:4">
      <c r="A244" s="52"/>
      <c r="B244" s="55"/>
      <c r="C244" s="1" t="s">
        <v>13</v>
      </c>
      <c r="D244" s="12">
        <v>20066281</v>
      </c>
    </row>
    <row r="245" spans="1:4" ht="15.75" thickBot="1">
      <c r="A245" s="52"/>
      <c r="B245" s="56"/>
      <c r="C245" s="2" t="s">
        <v>14</v>
      </c>
      <c r="D245" s="46">
        <f>D244/D243</f>
        <v>0.9646104078399913</v>
      </c>
    </row>
    <row r="246" spans="1:4">
      <c r="A246" s="52"/>
      <c r="B246" s="54" t="s">
        <v>3</v>
      </c>
      <c r="C246" s="3" t="s">
        <v>12</v>
      </c>
      <c r="D246" s="11">
        <f>4944100+99810+262700</f>
        <v>5306610</v>
      </c>
    </row>
    <row r="247" spans="1:4">
      <c r="A247" s="52"/>
      <c r="B247" s="55"/>
      <c r="C247" s="1" t="s">
        <v>13</v>
      </c>
      <c r="D247" s="12">
        <v>5361564</v>
      </c>
    </row>
    <row r="248" spans="1:4" ht="15.75" thickBot="1">
      <c r="A248" s="52"/>
      <c r="B248" s="56"/>
      <c r="C248" s="2" t="s">
        <v>14</v>
      </c>
      <c r="D248" s="46">
        <f>D247/D246</f>
        <v>1.0103557638492371</v>
      </c>
    </row>
    <row r="249" spans="1:4">
      <c r="A249" s="52"/>
      <c r="B249" s="54" t="s">
        <v>4</v>
      </c>
      <c r="C249" s="3" t="s">
        <v>12</v>
      </c>
      <c r="D249" s="11">
        <f>4682000+75540+228900</f>
        <v>4986440</v>
      </c>
    </row>
    <row r="250" spans="1:4">
      <c r="A250" s="52"/>
      <c r="B250" s="55"/>
      <c r="C250" s="1" t="s">
        <v>13</v>
      </c>
      <c r="D250" s="12">
        <v>4806881</v>
      </c>
    </row>
    <row r="251" spans="1:4" ht="15.75" thickBot="1">
      <c r="A251" s="52"/>
      <c r="B251" s="56"/>
      <c r="C251" s="2" t="s">
        <v>14</v>
      </c>
      <c r="D251" s="46">
        <f>D250/D249</f>
        <v>0.96399054235085557</v>
      </c>
    </row>
    <row r="252" spans="1:4">
      <c r="A252" s="52"/>
      <c r="B252" s="54" t="s">
        <v>5</v>
      </c>
      <c r="C252" s="3" t="s">
        <v>12</v>
      </c>
      <c r="D252" s="13">
        <f>1134000+25950+79900</f>
        <v>1239850</v>
      </c>
    </row>
    <row r="253" spans="1:4">
      <c r="A253" s="52"/>
      <c r="B253" s="55"/>
      <c r="C253" s="1" t="s">
        <v>13</v>
      </c>
      <c r="D253" s="14">
        <v>1194452</v>
      </c>
    </row>
    <row r="254" spans="1:4" ht="15.75" thickBot="1">
      <c r="A254" s="52"/>
      <c r="B254" s="56"/>
      <c r="C254" s="2" t="s">
        <v>14</v>
      </c>
      <c r="D254" s="46">
        <f>D253/D252</f>
        <v>0.9633842803564947</v>
      </c>
    </row>
    <row r="255" spans="1:4">
      <c r="A255" s="52"/>
      <c r="B255" s="54" t="s">
        <v>6</v>
      </c>
      <c r="C255" s="3" t="s">
        <v>12</v>
      </c>
      <c r="D255" s="13">
        <f>1532703+27660+73400</f>
        <v>1633763</v>
      </c>
    </row>
    <row r="256" spans="1:4">
      <c r="A256" s="52"/>
      <c r="B256" s="55"/>
      <c r="C256" s="1" t="s">
        <v>13</v>
      </c>
      <c r="D256" s="14">
        <v>1656972</v>
      </c>
    </row>
    <row r="257" spans="1:4" ht="15.75" thickBot="1">
      <c r="A257" s="52"/>
      <c r="B257" s="56"/>
      <c r="C257" s="2" t="s">
        <v>14</v>
      </c>
      <c r="D257" s="46">
        <f>D256/D255</f>
        <v>1.0142058548271689</v>
      </c>
    </row>
    <row r="258" spans="1:4">
      <c r="A258" s="52"/>
      <c r="B258" s="54" t="s">
        <v>7</v>
      </c>
      <c r="C258" s="3" t="s">
        <v>12</v>
      </c>
      <c r="D258" s="13">
        <v>0</v>
      </c>
    </row>
    <row r="259" spans="1:4">
      <c r="A259" s="52"/>
      <c r="B259" s="55"/>
      <c r="C259" s="1" t="s">
        <v>13</v>
      </c>
      <c r="D259" s="14">
        <v>0</v>
      </c>
    </row>
    <row r="260" spans="1:4" ht="15.75" thickBot="1">
      <c r="A260" s="52"/>
      <c r="B260" s="56"/>
      <c r="C260" s="2" t="s">
        <v>14</v>
      </c>
      <c r="D260" s="10" t="e">
        <f>D259/D258</f>
        <v>#DIV/0!</v>
      </c>
    </row>
    <row r="261" spans="1:4">
      <c r="A261" s="52"/>
      <c r="B261" s="54" t="s">
        <v>8</v>
      </c>
      <c r="C261" s="3" t="s">
        <v>12</v>
      </c>
      <c r="D261" s="13">
        <f>1175000+22050+87900</f>
        <v>1284950</v>
      </c>
    </row>
    <row r="262" spans="1:4">
      <c r="A262" s="52"/>
      <c r="B262" s="55"/>
      <c r="C262" s="1" t="s">
        <v>13</v>
      </c>
      <c r="D262" s="14">
        <v>1515084</v>
      </c>
    </row>
    <row r="263" spans="1:4" ht="15.75" thickBot="1">
      <c r="A263" s="52"/>
      <c r="B263" s="56"/>
      <c r="C263" s="2" t="s">
        <v>14</v>
      </c>
      <c r="D263" s="38">
        <f>D262/D261</f>
        <v>1.1790995758589828</v>
      </c>
    </row>
    <row r="264" spans="1:4">
      <c r="A264" s="52"/>
      <c r="B264" s="57" t="s">
        <v>9</v>
      </c>
      <c r="C264" s="3" t="s">
        <v>12</v>
      </c>
      <c r="D264" s="11">
        <f>D243+D246+D249+D252+D255+D258+D261</f>
        <v>35254085</v>
      </c>
    </row>
    <row r="265" spans="1:4">
      <c r="A265" s="52"/>
      <c r="B265" s="58"/>
      <c r="C265" s="1" t="s">
        <v>13</v>
      </c>
      <c r="D265" s="14">
        <f>D244+D247+D250+D253+D256+D259+D262</f>
        <v>34601234</v>
      </c>
    </row>
    <row r="266" spans="1:4" ht="15.75" thickBot="1">
      <c r="A266" s="53"/>
      <c r="B266" s="59"/>
      <c r="C266" s="2" t="s">
        <v>14</v>
      </c>
      <c r="D266" s="46">
        <f>D265/D264</f>
        <v>0.98148155029410067</v>
      </c>
    </row>
    <row r="267" spans="1:4" ht="15.75" thickBot="1"/>
    <row r="268" spans="1:4" ht="15.75" thickBot="1">
      <c r="A268" s="4" t="s">
        <v>0</v>
      </c>
      <c r="B268" s="7" t="s">
        <v>10</v>
      </c>
      <c r="C268" s="5" t="s">
        <v>1</v>
      </c>
      <c r="D268" s="6" t="s">
        <v>11</v>
      </c>
    </row>
    <row r="269" spans="1:4">
      <c r="A269" s="63" t="s">
        <v>34</v>
      </c>
      <c r="B269" s="54" t="s">
        <v>2</v>
      </c>
      <c r="C269" s="3" t="s">
        <v>12</v>
      </c>
      <c r="D269" s="11">
        <v>83232405</v>
      </c>
    </row>
    <row r="270" spans="1:4">
      <c r="A270" s="64"/>
      <c r="B270" s="55"/>
      <c r="C270" s="1" t="s">
        <v>13</v>
      </c>
      <c r="D270" s="12">
        <v>87300996</v>
      </c>
    </row>
    <row r="271" spans="1:4" ht="15.75" thickBot="1">
      <c r="A271" s="64"/>
      <c r="B271" s="56"/>
      <c r="C271" s="2" t="s">
        <v>14</v>
      </c>
      <c r="D271" s="37">
        <f>D270/D269</f>
        <v>1.0488822953031334</v>
      </c>
    </row>
    <row r="272" spans="1:4">
      <c r="A272" s="64"/>
      <c r="B272" s="54" t="s">
        <v>3</v>
      </c>
      <c r="C272" s="3" t="s">
        <v>12</v>
      </c>
      <c r="D272" s="11">
        <v>8763905</v>
      </c>
    </row>
    <row r="273" spans="1:4">
      <c r="A273" s="64"/>
      <c r="B273" s="55"/>
      <c r="C273" s="1" t="s">
        <v>13</v>
      </c>
      <c r="D273" s="12">
        <v>9292560</v>
      </c>
    </row>
    <row r="274" spans="1:4" ht="15.75" thickBot="1">
      <c r="A274" s="64"/>
      <c r="B274" s="56"/>
      <c r="C274" s="2" t="s">
        <v>14</v>
      </c>
      <c r="D274" s="37">
        <f>D273/D272</f>
        <v>1.0603218542419162</v>
      </c>
    </row>
    <row r="275" spans="1:4">
      <c r="A275" s="64"/>
      <c r="B275" s="54" t="s">
        <v>4</v>
      </c>
      <c r="C275" s="3" t="s">
        <v>12</v>
      </c>
      <c r="D275" s="11">
        <v>2876005</v>
      </c>
    </row>
    <row r="276" spans="1:4">
      <c r="A276" s="64"/>
      <c r="B276" s="55"/>
      <c r="C276" s="1" t="s">
        <v>13</v>
      </c>
      <c r="D276" s="12">
        <v>2347827</v>
      </c>
    </row>
    <row r="277" spans="1:4" ht="15.75" thickBot="1">
      <c r="A277" s="64"/>
      <c r="B277" s="56"/>
      <c r="C277" s="2" t="s">
        <v>14</v>
      </c>
      <c r="D277" s="46">
        <f>D276/D275</f>
        <v>0.81635011065697038</v>
      </c>
    </row>
    <row r="278" spans="1:4">
      <c r="A278" s="64"/>
      <c r="B278" s="54" t="s">
        <v>5</v>
      </c>
      <c r="C278" s="3" t="s">
        <v>12</v>
      </c>
      <c r="D278" s="13">
        <v>1888515</v>
      </c>
    </row>
    <row r="279" spans="1:4">
      <c r="A279" s="64"/>
      <c r="B279" s="55"/>
      <c r="C279" s="1" t="s">
        <v>13</v>
      </c>
      <c r="D279" s="14">
        <v>1893129</v>
      </c>
    </row>
    <row r="280" spans="1:4" ht="15.75" thickBot="1">
      <c r="A280" s="64"/>
      <c r="B280" s="56"/>
      <c r="C280" s="2" t="s">
        <v>14</v>
      </c>
      <c r="D280" s="46">
        <f>D279/D278</f>
        <v>1.0024431894901549</v>
      </c>
    </row>
    <row r="281" spans="1:4">
      <c r="A281" s="64"/>
      <c r="B281" s="54" t="s">
        <v>6</v>
      </c>
      <c r="C281" s="3" t="s">
        <v>12</v>
      </c>
      <c r="D281" s="13">
        <v>9737902</v>
      </c>
    </row>
    <row r="282" spans="1:4">
      <c r="A282" s="64"/>
      <c r="B282" s="55"/>
      <c r="C282" s="1" t="s">
        <v>13</v>
      </c>
      <c r="D282" s="14">
        <v>10667231</v>
      </c>
    </row>
    <row r="283" spans="1:4" ht="15.75" thickBot="1">
      <c r="A283" s="64"/>
      <c r="B283" s="56"/>
      <c r="C283" s="2" t="s">
        <v>14</v>
      </c>
      <c r="D283" s="37">
        <f>D282/D281</f>
        <v>1.095434211599172</v>
      </c>
    </row>
    <row r="284" spans="1:4">
      <c r="A284" s="64"/>
      <c r="B284" s="54" t="s">
        <v>7</v>
      </c>
      <c r="C284" s="3" t="s">
        <v>12</v>
      </c>
      <c r="D284" s="13"/>
    </row>
    <row r="285" spans="1:4">
      <c r="A285" s="64"/>
      <c r="B285" s="55"/>
      <c r="C285" s="1" t="s">
        <v>13</v>
      </c>
      <c r="D285" s="14"/>
    </row>
    <row r="286" spans="1:4" ht="15.75" thickBot="1">
      <c r="A286" s="64"/>
      <c r="B286" s="56"/>
      <c r="C286" s="2" t="s">
        <v>14</v>
      </c>
      <c r="D286" s="10" t="e">
        <f>D285/D284</f>
        <v>#DIV/0!</v>
      </c>
    </row>
    <row r="287" spans="1:4">
      <c r="A287" s="64"/>
      <c r="B287" s="54" t="s">
        <v>8</v>
      </c>
      <c r="C287" s="3" t="s">
        <v>12</v>
      </c>
      <c r="D287" s="13"/>
    </row>
    <row r="288" spans="1:4">
      <c r="A288" s="64"/>
      <c r="B288" s="55"/>
      <c r="C288" s="1" t="s">
        <v>13</v>
      </c>
      <c r="D288" s="14"/>
    </row>
    <row r="289" spans="1:4" ht="15.75" thickBot="1">
      <c r="A289" s="64"/>
      <c r="B289" s="56"/>
      <c r="C289" s="2" t="s">
        <v>14</v>
      </c>
      <c r="D289" s="10" t="e">
        <f>D288/D287</f>
        <v>#DIV/0!</v>
      </c>
    </row>
    <row r="290" spans="1:4">
      <c r="A290" s="64"/>
      <c r="B290" s="57" t="s">
        <v>9</v>
      </c>
      <c r="C290" s="3" t="s">
        <v>12</v>
      </c>
      <c r="D290" s="11">
        <f>D269+D272+D275+D278+D281+D284+D287</f>
        <v>106498732</v>
      </c>
    </row>
    <row r="291" spans="1:4">
      <c r="A291" s="64"/>
      <c r="B291" s="58"/>
      <c r="C291" s="1" t="s">
        <v>13</v>
      </c>
      <c r="D291" s="14">
        <f>D270+D273+D276+D279+D282+D285+D288</f>
        <v>111501743</v>
      </c>
    </row>
    <row r="292" spans="1:4" ht="15.75" thickBot="1">
      <c r="A292" s="65"/>
      <c r="B292" s="59"/>
      <c r="C292" s="2" t="s">
        <v>14</v>
      </c>
      <c r="D292" s="10">
        <f>D291/D290</f>
        <v>1.0469771884232386</v>
      </c>
    </row>
    <row r="293" spans="1:4" ht="15.75" thickBot="1"/>
    <row r="294" spans="1:4" ht="15.75" thickBot="1">
      <c r="A294" s="4" t="s">
        <v>0</v>
      </c>
      <c r="B294" s="7" t="s">
        <v>10</v>
      </c>
      <c r="C294" s="5" t="s">
        <v>1</v>
      </c>
      <c r="D294" s="6" t="s">
        <v>11</v>
      </c>
    </row>
    <row r="295" spans="1:4">
      <c r="A295" s="51" t="s">
        <v>35</v>
      </c>
      <c r="B295" s="54" t="s">
        <v>2</v>
      </c>
      <c r="C295" s="3" t="s">
        <v>12</v>
      </c>
      <c r="D295" s="11">
        <v>93732588</v>
      </c>
    </row>
    <row r="296" spans="1:4">
      <c r="A296" s="52"/>
      <c r="B296" s="55"/>
      <c r="C296" s="1" t="s">
        <v>13</v>
      </c>
      <c r="D296" s="12">
        <v>95618502</v>
      </c>
    </row>
    <row r="297" spans="1:4" ht="15.75" thickBot="1">
      <c r="A297" s="52"/>
      <c r="B297" s="56"/>
      <c r="C297" s="2" t="s">
        <v>14</v>
      </c>
      <c r="D297" s="46">
        <f>D296/D295</f>
        <v>1.0201201528757533</v>
      </c>
    </row>
    <row r="298" spans="1:4">
      <c r="A298" s="52"/>
      <c r="B298" s="54" t="s">
        <v>3</v>
      </c>
      <c r="C298" s="3" t="s">
        <v>12</v>
      </c>
      <c r="D298" s="11">
        <v>13827743</v>
      </c>
    </row>
    <row r="299" spans="1:4">
      <c r="A299" s="52"/>
      <c r="B299" s="55"/>
      <c r="C299" s="1" t="s">
        <v>13</v>
      </c>
      <c r="D299" s="12">
        <v>14407140</v>
      </c>
    </row>
    <row r="300" spans="1:4" ht="15.75" thickBot="1">
      <c r="A300" s="52"/>
      <c r="B300" s="56"/>
      <c r="C300" s="2" t="s">
        <v>14</v>
      </c>
      <c r="D300" s="10">
        <f>D299/D298</f>
        <v>1.0419010535558839</v>
      </c>
    </row>
    <row r="301" spans="1:4">
      <c r="A301" s="52"/>
      <c r="B301" s="54" t="s">
        <v>4</v>
      </c>
      <c r="C301" s="3" t="s">
        <v>12</v>
      </c>
      <c r="D301" s="11">
        <v>5326325</v>
      </c>
    </row>
    <row r="302" spans="1:4">
      <c r="A302" s="52"/>
      <c r="B302" s="55"/>
      <c r="C302" s="1" t="s">
        <v>13</v>
      </c>
      <c r="D302" s="12">
        <v>5350392</v>
      </c>
    </row>
    <row r="303" spans="1:4" ht="15.75" thickBot="1">
      <c r="A303" s="52"/>
      <c r="B303" s="56"/>
      <c r="C303" s="2" t="s">
        <v>14</v>
      </c>
      <c r="D303" s="46">
        <f>D302/D301</f>
        <v>1.0045185000915264</v>
      </c>
    </row>
    <row r="304" spans="1:4">
      <c r="A304" s="52"/>
      <c r="B304" s="54" t="s">
        <v>5</v>
      </c>
      <c r="C304" s="3" t="s">
        <v>12</v>
      </c>
      <c r="D304" s="13">
        <v>4050561</v>
      </c>
    </row>
    <row r="305" spans="1:4">
      <c r="A305" s="52"/>
      <c r="B305" s="55"/>
      <c r="C305" s="1" t="s">
        <v>13</v>
      </c>
      <c r="D305" s="14">
        <v>4055532</v>
      </c>
    </row>
    <row r="306" spans="1:4" ht="15.75" thickBot="1">
      <c r="A306" s="52"/>
      <c r="B306" s="56"/>
      <c r="C306" s="2" t="s">
        <v>14</v>
      </c>
      <c r="D306" s="46">
        <f>D305/D304</f>
        <v>1.0012272374122992</v>
      </c>
    </row>
    <row r="307" spans="1:4">
      <c r="A307" s="52"/>
      <c r="B307" s="54" t="s">
        <v>6</v>
      </c>
      <c r="C307" s="3" t="s">
        <v>12</v>
      </c>
      <c r="D307" s="13">
        <v>11809308</v>
      </c>
    </row>
    <row r="308" spans="1:4">
      <c r="A308" s="52"/>
      <c r="B308" s="55"/>
      <c r="C308" s="1" t="s">
        <v>13</v>
      </c>
      <c r="D308" s="14">
        <v>12302199</v>
      </c>
    </row>
    <row r="309" spans="1:4" ht="15.75" thickBot="1">
      <c r="A309" s="52"/>
      <c r="B309" s="56"/>
      <c r="C309" s="2" t="s">
        <v>14</v>
      </c>
      <c r="D309" s="10">
        <f>D308/D307</f>
        <v>1.0417375006223903</v>
      </c>
    </row>
    <row r="310" spans="1:4">
      <c r="A310" s="52"/>
      <c r="B310" s="54" t="s">
        <v>7</v>
      </c>
      <c r="C310" s="3" t="s">
        <v>12</v>
      </c>
      <c r="D310" s="13"/>
    </row>
    <row r="311" spans="1:4">
      <c r="A311" s="52"/>
      <c r="B311" s="55"/>
      <c r="C311" s="1" t="s">
        <v>13</v>
      </c>
      <c r="D311" s="14"/>
    </row>
    <row r="312" spans="1:4" ht="15.75" thickBot="1">
      <c r="A312" s="52"/>
      <c r="B312" s="56"/>
      <c r="C312" s="23" t="s">
        <v>14</v>
      </c>
      <c r="D312" s="10" t="e">
        <f>D311/D310</f>
        <v>#DIV/0!</v>
      </c>
    </row>
    <row r="313" spans="1:4">
      <c r="A313" s="52"/>
      <c r="B313" s="54" t="s">
        <v>8</v>
      </c>
      <c r="C313" s="3" t="s">
        <v>12</v>
      </c>
      <c r="D313" s="13"/>
    </row>
    <row r="314" spans="1:4">
      <c r="A314" s="52"/>
      <c r="B314" s="55"/>
      <c r="C314" s="1" t="s">
        <v>13</v>
      </c>
      <c r="D314" s="14"/>
    </row>
    <row r="315" spans="1:4" ht="15.75" thickBot="1">
      <c r="A315" s="52"/>
      <c r="B315" s="56"/>
      <c r="C315" s="2" t="s">
        <v>14</v>
      </c>
      <c r="D315" s="10" t="e">
        <f>D314/D313</f>
        <v>#DIV/0!</v>
      </c>
    </row>
    <row r="316" spans="1:4">
      <c r="A316" s="52"/>
      <c r="B316" s="57" t="s">
        <v>9</v>
      </c>
      <c r="C316" s="22" t="s">
        <v>12</v>
      </c>
      <c r="D316" s="11">
        <f>D295+D298+D301+D304+D307+D310+D313</f>
        <v>128746525</v>
      </c>
    </row>
    <row r="317" spans="1:4">
      <c r="A317" s="52"/>
      <c r="B317" s="58"/>
      <c r="C317" s="1" t="s">
        <v>13</v>
      </c>
      <c r="D317" s="14">
        <f>D296+D299+D302+D305+D308+D311+D314</f>
        <v>131733765</v>
      </c>
    </row>
    <row r="318" spans="1:4" ht="15.75" thickBot="1">
      <c r="A318" s="53"/>
      <c r="B318" s="59"/>
      <c r="C318" s="2" t="s">
        <v>14</v>
      </c>
      <c r="D318" s="46">
        <f>D317/D316</f>
        <v>1.0232024903196417</v>
      </c>
    </row>
    <row r="319" spans="1:4" ht="15.75" thickBot="1"/>
    <row r="320" spans="1:4" ht="15.75" thickBot="1">
      <c r="A320" s="16" t="s">
        <v>0</v>
      </c>
      <c r="B320" s="17" t="s">
        <v>10</v>
      </c>
      <c r="C320" s="18" t="s">
        <v>1</v>
      </c>
      <c r="D320" s="6" t="s">
        <v>15</v>
      </c>
    </row>
    <row r="321" spans="1:4">
      <c r="A321" s="51" t="s">
        <v>36</v>
      </c>
      <c r="B321" s="54" t="s">
        <v>2</v>
      </c>
      <c r="C321" s="3" t="s">
        <v>12</v>
      </c>
      <c r="D321" s="11">
        <f>11691092*3</f>
        <v>35073276</v>
      </c>
    </row>
    <row r="322" spans="1:4">
      <c r="A322" s="52"/>
      <c r="B322" s="55"/>
      <c r="C322" s="1" t="s">
        <v>13</v>
      </c>
      <c r="D322" s="12">
        <v>36411357</v>
      </c>
    </row>
    <row r="323" spans="1:4" ht="15.75" thickBot="1">
      <c r="A323" s="52"/>
      <c r="B323" s="56"/>
      <c r="C323" s="2" t="s">
        <v>16</v>
      </c>
      <c r="D323" s="10">
        <f>D322/D321</f>
        <v>1.0381510127539839</v>
      </c>
    </row>
    <row r="324" spans="1:4">
      <c r="A324" s="52"/>
      <c r="B324" s="54" t="s">
        <v>3</v>
      </c>
      <c r="C324" s="3" t="s">
        <v>12</v>
      </c>
      <c r="D324" s="11">
        <f>1580300*3</f>
        <v>4740900</v>
      </c>
    </row>
    <row r="325" spans="1:4">
      <c r="A325" s="52"/>
      <c r="B325" s="55"/>
      <c r="C325" s="1" t="s">
        <v>13</v>
      </c>
      <c r="D325" s="12">
        <v>5549190</v>
      </c>
    </row>
    <row r="326" spans="1:4" ht="15.75" thickBot="1">
      <c r="A326" s="52"/>
      <c r="B326" s="56"/>
      <c r="C326" s="2" t="s">
        <v>16</v>
      </c>
      <c r="D326" s="37">
        <f>D325/D324</f>
        <v>1.1704929443776497</v>
      </c>
    </row>
    <row r="327" spans="1:4">
      <c r="A327" s="52"/>
      <c r="B327" s="54" t="s">
        <v>4</v>
      </c>
      <c r="C327" s="3" t="s">
        <v>12</v>
      </c>
      <c r="D327" s="11">
        <f>654000*3</f>
        <v>1962000</v>
      </c>
    </row>
    <row r="328" spans="1:4">
      <c r="A328" s="52"/>
      <c r="B328" s="55"/>
      <c r="C328" s="1" t="s">
        <v>13</v>
      </c>
      <c r="D328" s="12">
        <v>1975611</v>
      </c>
    </row>
    <row r="329" spans="1:4" ht="15.75" thickBot="1">
      <c r="A329" s="52"/>
      <c r="B329" s="56"/>
      <c r="C329" s="2" t="s">
        <v>16</v>
      </c>
      <c r="D329" s="46">
        <f>D328/D327</f>
        <v>1.0069373088685016</v>
      </c>
    </row>
    <row r="330" spans="1:4">
      <c r="A330" s="52"/>
      <c r="B330" s="54" t="s">
        <v>5</v>
      </c>
      <c r="C330" s="3" t="s">
        <v>12</v>
      </c>
      <c r="D330" s="13">
        <f>(267993*3)-48877.12-16205.19+3588.03</f>
        <v>742484.72000000009</v>
      </c>
    </row>
    <row r="331" spans="1:4">
      <c r="A331" s="52"/>
      <c r="B331" s="55"/>
      <c r="C331" s="1" t="s">
        <v>13</v>
      </c>
      <c r="D331" s="14">
        <v>870738</v>
      </c>
    </row>
    <row r="332" spans="1:4" ht="15.75" thickBot="1">
      <c r="A332" s="52"/>
      <c r="B332" s="56"/>
      <c r="C332" s="2" t="s">
        <v>16</v>
      </c>
      <c r="D332" s="37">
        <f>D331/D330</f>
        <v>1.1727352449758157</v>
      </c>
    </row>
    <row r="333" spans="1:4">
      <c r="A333" s="52"/>
      <c r="B333" s="54" t="s">
        <v>6</v>
      </c>
      <c r="C333" s="3" t="s">
        <v>12</v>
      </c>
      <c r="D333" s="13">
        <f>1903658+1903658-6432-6432+1897226</f>
        <v>5691678</v>
      </c>
    </row>
    <row r="334" spans="1:4">
      <c r="A334" s="52"/>
      <c r="B334" s="55"/>
      <c r="C334" s="1" t="s">
        <v>13</v>
      </c>
      <c r="D334" s="14">
        <v>6485424</v>
      </c>
    </row>
    <row r="335" spans="1:4" ht="15.75" thickBot="1">
      <c r="A335" s="52"/>
      <c r="B335" s="56"/>
      <c r="C335" s="2" t="s">
        <v>16</v>
      </c>
      <c r="D335" s="37">
        <f>D334/D333</f>
        <v>1.139457291856637</v>
      </c>
    </row>
    <row r="336" spans="1:4">
      <c r="A336" s="52"/>
      <c r="B336" s="54" t="s">
        <v>7</v>
      </c>
      <c r="C336" s="3" t="s">
        <v>12</v>
      </c>
      <c r="D336" s="13"/>
    </row>
    <row r="337" spans="1:4">
      <c r="A337" s="52"/>
      <c r="B337" s="55"/>
      <c r="C337" s="1" t="s">
        <v>13</v>
      </c>
      <c r="D337" s="14"/>
    </row>
    <row r="338" spans="1:4" ht="15.75" thickBot="1">
      <c r="A338" s="52"/>
      <c r="B338" s="56"/>
      <c r="C338" s="2" t="s">
        <v>16</v>
      </c>
      <c r="D338" s="10" t="e">
        <f>D337/D336</f>
        <v>#DIV/0!</v>
      </c>
    </row>
    <row r="339" spans="1:4">
      <c r="A339" s="52"/>
      <c r="B339" s="54" t="s">
        <v>8</v>
      </c>
      <c r="C339" s="3" t="s">
        <v>12</v>
      </c>
      <c r="D339" s="13"/>
    </row>
    <row r="340" spans="1:4">
      <c r="A340" s="52"/>
      <c r="B340" s="55"/>
      <c r="C340" s="1" t="s">
        <v>13</v>
      </c>
      <c r="D340" s="14"/>
    </row>
    <row r="341" spans="1:4" ht="15.75" thickBot="1">
      <c r="A341" s="52"/>
      <c r="B341" s="56"/>
      <c r="C341" s="2" t="s">
        <v>16</v>
      </c>
      <c r="D341" s="10" t="e">
        <f>D340/D339</f>
        <v>#DIV/0!</v>
      </c>
    </row>
    <row r="342" spans="1:4">
      <c r="A342" s="52"/>
      <c r="B342" s="60" t="s">
        <v>9</v>
      </c>
      <c r="C342" s="3" t="s">
        <v>12</v>
      </c>
      <c r="D342" s="11">
        <f>D321+D324+D327+D330+D333+D336+D339</f>
        <v>48210338.719999999</v>
      </c>
    </row>
    <row r="343" spans="1:4">
      <c r="A343" s="52"/>
      <c r="B343" s="61"/>
      <c r="C343" s="1" t="s">
        <v>13</v>
      </c>
      <c r="D343" s="14">
        <f>D322+D325+D328+D331+D334+D337+D340</f>
        <v>51292320</v>
      </c>
    </row>
    <row r="344" spans="1:4" ht="15.75" thickBot="1">
      <c r="A344" s="53"/>
      <c r="B344" s="62"/>
      <c r="C344" s="2" t="s">
        <v>16</v>
      </c>
      <c r="D344" s="10">
        <f>D343/D342</f>
        <v>1.0639278080558567</v>
      </c>
    </row>
    <row r="345" spans="1:4" ht="15.75" thickBot="1"/>
    <row r="346" spans="1:4" ht="15.75" thickBot="1">
      <c r="A346" s="4" t="s">
        <v>0</v>
      </c>
      <c r="B346" s="7" t="s">
        <v>10</v>
      </c>
      <c r="C346" s="5" t="s">
        <v>1</v>
      </c>
      <c r="D346" s="6" t="s">
        <v>11</v>
      </c>
    </row>
    <row r="347" spans="1:4">
      <c r="A347" s="51" t="s">
        <v>37</v>
      </c>
      <c r="B347" s="54" t="s">
        <v>2</v>
      </c>
      <c r="C347" s="3" t="s">
        <v>12</v>
      </c>
      <c r="D347" s="11">
        <v>69062790</v>
      </c>
    </row>
    <row r="348" spans="1:4">
      <c r="A348" s="52"/>
      <c r="B348" s="55"/>
      <c r="C348" s="1" t="s">
        <v>13</v>
      </c>
      <c r="D348" s="12">
        <v>71222397</v>
      </c>
    </row>
    <row r="349" spans="1:4" ht="15.75" thickBot="1">
      <c r="A349" s="52"/>
      <c r="B349" s="56"/>
      <c r="C349" s="2" t="s">
        <v>14</v>
      </c>
      <c r="D349" s="10">
        <f>D348/D347</f>
        <v>1.0312701962952844</v>
      </c>
    </row>
    <row r="350" spans="1:4">
      <c r="A350" s="52"/>
      <c r="B350" s="54" t="s">
        <v>3</v>
      </c>
      <c r="C350" s="3" t="s">
        <v>12</v>
      </c>
      <c r="D350" s="11">
        <v>8504379</v>
      </c>
    </row>
    <row r="351" spans="1:4">
      <c r="A351" s="52"/>
      <c r="B351" s="55"/>
      <c r="C351" s="1" t="s">
        <v>13</v>
      </c>
      <c r="D351" s="12">
        <v>9969330</v>
      </c>
    </row>
    <row r="352" spans="1:4" ht="15.75" thickBot="1">
      <c r="A352" s="52"/>
      <c r="B352" s="56"/>
      <c r="C352" s="2" t="s">
        <v>14</v>
      </c>
      <c r="D352" s="37">
        <f>D351/D350</f>
        <v>1.1722584329790571</v>
      </c>
    </row>
    <row r="353" spans="1:4">
      <c r="A353" s="52"/>
      <c r="B353" s="54" t="s">
        <v>4</v>
      </c>
      <c r="C353" s="3" t="s">
        <v>12</v>
      </c>
      <c r="D353" s="11">
        <v>3126975</v>
      </c>
    </row>
    <row r="354" spans="1:4">
      <c r="A354" s="52"/>
      <c r="B354" s="55"/>
      <c r="C354" s="1" t="s">
        <v>13</v>
      </c>
      <c r="D354" s="12">
        <v>2918103</v>
      </c>
    </row>
    <row r="355" spans="1:4" ht="15.75" thickBot="1">
      <c r="A355" s="52"/>
      <c r="B355" s="56"/>
      <c r="C355" s="2" t="s">
        <v>14</v>
      </c>
      <c r="D355" s="46">
        <f>D354/D353</f>
        <v>0.93320317559302524</v>
      </c>
    </row>
    <row r="356" spans="1:4">
      <c r="A356" s="52"/>
      <c r="B356" s="54" t="s">
        <v>5</v>
      </c>
      <c r="C356" s="3" t="s">
        <v>12</v>
      </c>
      <c r="D356" s="13">
        <v>2648577</v>
      </c>
    </row>
    <row r="357" spans="1:4">
      <c r="A357" s="52"/>
      <c r="B357" s="55"/>
      <c r="C357" s="1" t="s">
        <v>13</v>
      </c>
      <c r="D357" s="14">
        <v>3366861</v>
      </c>
    </row>
    <row r="358" spans="1:4" ht="15.75" thickBot="1">
      <c r="A358" s="52"/>
      <c r="B358" s="56"/>
      <c r="C358" s="2" t="s">
        <v>14</v>
      </c>
      <c r="D358" s="37">
        <f>D357/D356</f>
        <v>1.271196193276616</v>
      </c>
    </row>
    <row r="359" spans="1:4">
      <c r="A359" s="52"/>
      <c r="B359" s="54" t="s">
        <v>6</v>
      </c>
      <c r="C359" s="3" t="s">
        <v>12</v>
      </c>
      <c r="D359" s="13">
        <v>9935919</v>
      </c>
    </row>
    <row r="360" spans="1:4">
      <c r="A360" s="52"/>
      <c r="B360" s="55"/>
      <c r="C360" s="1" t="s">
        <v>13</v>
      </c>
      <c r="D360" s="14">
        <v>10907061</v>
      </c>
    </row>
    <row r="361" spans="1:4" ht="15.75" thickBot="1">
      <c r="A361" s="52"/>
      <c r="B361" s="56"/>
      <c r="C361" s="2" t="s">
        <v>14</v>
      </c>
      <c r="D361" s="37">
        <f>D360/D359</f>
        <v>1.0977405310973247</v>
      </c>
    </row>
    <row r="362" spans="1:4">
      <c r="A362" s="52"/>
      <c r="B362" s="54" t="s">
        <v>7</v>
      </c>
      <c r="C362" s="3" t="s">
        <v>12</v>
      </c>
      <c r="D362" s="13"/>
    </row>
    <row r="363" spans="1:4">
      <c r="A363" s="52"/>
      <c r="B363" s="55"/>
      <c r="C363" s="1" t="s">
        <v>13</v>
      </c>
      <c r="D363" s="14"/>
    </row>
    <row r="364" spans="1:4" ht="15.75" thickBot="1">
      <c r="A364" s="52"/>
      <c r="B364" s="56"/>
      <c r="C364" s="2" t="s">
        <v>14</v>
      </c>
      <c r="D364" s="10" t="e">
        <f>D363/D362</f>
        <v>#DIV/0!</v>
      </c>
    </row>
    <row r="365" spans="1:4">
      <c r="A365" s="52"/>
      <c r="B365" s="54" t="s">
        <v>8</v>
      </c>
      <c r="C365" s="3" t="s">
        <v>12</v>
      </c>
      <c r="D365" s="13"/>
    </row>
    <row r="366" spans="1:4">
      <c r="A366" s="52"/>
      <c r="B366" s="55"/>
      <c r="C366" s="1" t="s">
        <v>13</v>
      </c>
      <c r="D366" s="14"/>
    </row>
    <row r="367" spans="1:4" ht="15.75" thickBot="1">
      <c r="A367" s="52"/>
      <c r="B367" s="56"/>
      <c r="C367" s="2" t="s">
        <v>14</v>
      </c>
      <c r="D367" s="10" t="e">
        <f>D366/D365</f>
        <v>#DIV/0!</v>
      </c>
    </row>
    <row r="368" spans="1:4">
      <c r="A368" s="52"/>
      <c r="B368" s="57" t="s">
        <v>9</v>
      </c>
      <c r="C368" s="3" t="s">
        <v>12</v>
      </c>
      <c r="D368" s="11">
        <f>D347+D350+D353+D356+D359+D362+D365</f>
        <v>93278640</v>
      </c>
    </row>
    <row r="369" spans="1:4">
      <c r="A369" s="52"/>
      <c r="B369" s="58"/>
      <c r="C369" s="1" t="s">
        <v>13</v>
      </c>
      <c r="D369" s="14">
        <f>D348+D351+D354+D357+D360+D363+D366</f>
        <v>98383752</v>
      </c>
    </row>
    <row r="370" spans="1:4" ht="15.75" thickBot="1">
      <c r="A370" s="53"/>
      <c r="B370" s="59"/>
      <c r="C370" s="2" t="s">
        <v>14</v>
      </c>
      <c r="D370" s="10">
        <f>D369/D368</f>
        <v>1.0547297001757316</v>
      </c>
    </row>
    <row r="371" spans="1:4" ht="15.75" thickBot="1"/>
    <row r="372" spans="1:4" ht="15.75" thickBot="1">
      <c r="A372" s="4" t="s">
        <v>0</v>
      </c>
      <c r="B372" s="7" t="s">
        <v>10</v>
      </c>
      <c r="C372" s="5" t="s">
        <v>1</v>
      </c>
      <c r="D372" s="6" t="s">
        <v>11</v>
      </c>
    </row>
    <row r="373" spans="1:4">
      <c r="A373" s="51" t="s">
        <v>38</v>
      </c>
      <c r="B373" s="54" t="s">
        <v>2</v>
      </c>
      <c r="C373" s="3" t="s">
        <v>12</v>
      </c>
      <c r="D373" s="11">
        <v>74418093</v>
      </c>
    </row>
    <row r="374" spans="1:4">
      <c r="A374" s="52"/>
      <c r="B374" s="55"/>
      <c r="C374" s="1" t="s">
        <v>13</v>
      </c>
      <c r="D374" s="12">
        <v>75951900</v>
      </c>
    </row>
    <row r="375" spans="1:4" ht="15.75" thickBot="1">
      <c r="A375" s="52"/>
      <c r="B375" s="56"/>
      <c r="C375" s="2" t="s">
        <v>14</v>
      </c>
      <c r="D375" s="46">
        <f>D374/D373</f>
        <v>1.0206106732673195</v>
      </c>
    </row>
    <row r="376" spans="1:4">
      <c r="A376" s="52"/>
      <c r="B376" s="54" t="s">
        <v>3</v>
      </c>
      <c r="C376" s="3" t="s">
        <v>12</v>
      </c>
      <c r="D376" s="11">
        <v>5073885</v>
      </c>
    </row>
    <row r="377" spans="1:4">
      <c r="A377" s="52"/>
      <c r="B377" s="55"/>
      <c r="C377" s="1" t="s">
        <v>13</v>
      </c>
      <c r="D377" s="12">
        <v>5219250</v>
      </c>
    </row>
    <row r="378" spans="1:4" ht="15.75" thickBot="1">
      <c r="A378" s="52"/>
      <c r="B378" s="56"/>
      <c r="C378" s="2" t="s">
        <v>14</v>
      </c>
      <c r="D378" s="46">
        <f>D377/D376</f>
        <v>1.028649644207545</v>
      </c>
    </row>
    <row r="379" spans="1:4">
      <c r="A379" s="52"/>
      <c r="B379" s="54" t="s">
        <v>4</v>
      </c>
      <c r="C379" s="3" t="s">
        <v>12</v>
      </c>
      <c r="D379" s="11">
        <v>5429524.9799999995</v>
      </c>
    </row>
    <row r="380" spans="1:4">
      <c r="A380" s="52"/>
      <c r="B380" s="55"/>
      <c r="C380" s="1" t="s">
        <v>13</v>
      </c>
      <c r="D380" s="12">
        <v>6028809</v>
      </c>
    </row>
    <row r="381" spans="1:4" ht="15.75" thickBot="1">
      <c r="A381" s="52"/>
      <c r="B381" s="56"/>
      <c r="C381" s="2" t="s">
        <v>14</v>
      </c>
      <c r="D381" s="37">
        <f>D380/D379</f>
        <v>1.1103750368968743</v>
      </c>
    </row>
    <row r="382" spans="1:4">
      <c r="A382" s="52"/>
      <c r="B382" s="54" t="s">
        <v>5</v>
      </c>
      <c r="C382" s="3" t="s">
        <v>12</v>
      </c>
      <c r="D382" s="13">
        <v>1622035.5</v>
      </c>
    </row>
    <row r="383" spans="1:4">
      <c r="A383" s="52"/>
      <c r="B383" s="55"/>
      <c r="C383" s="1" t="s">
        <v>13</v>
      </c>
      <c r="D383" s="14">
        <v>1724832</v>
      </c>
    </row>
    <row r="384" spans="1:4" ht="15.75" thickBot="1">
      <c r="A384" s="52"/>
      <c r="B384" s="56"/>
      <c r="C384" s="2" t="s">
        <v>14</v>
      </c>
      <c r="D384" s="37">
        <f>D383/D382</f>
        <v>1.0633750001155955</v>
      </c>
    </row>
    <row r="385" spans="1:4">
      <c r="A385" s="52"/>
      <c r="B385" s="54" t="s">
        <v>6</v>
      </c>
      <c r="C385" s="3" t="s">
        <v>12</v>
      </c>
      <c r="D385" s="13">
        <v>2168491.5</v>
      </c>
    </row>
    <row r="386" spans="1:4">
      <c r="A386" s="52"/>
      <c r="B386" s="55"/>
      <c r="C386" s="1" t="s">
        <v>13</v>
      </c>
      <c r="D386" s="12">
        <v>2310633</v>
      </c>
    </row>
    <row r="387" spans="1:4" ht="15.75" thickBot="1">
      <c r="A387" s="52"/>
      <c r="B387" s="56"/>
      <c r="C387" s="2" t="s">
        <v>14</v>
      </c>
      <c r="D387" s="37">
        <f>D386/D385</f>
        <v>1.0655485622147931</v>
      </c>
    </row>
    <row r="388" spans="1:4">
      <c r="A388" s="52"/>
      <c r="B388" s="54" t="s">
        <v>7</v>
      </c>
      <c r="C388" s="3" t="s">
        <v>12</v>
      </c>
      <c r="D388" s="13">
        <v>9635470.5</v>
      </c>
    </row>
    <row r="389" spans="1:4">
      <c r="A389" s="52"/>
      <c r="B389" s="55"/>
      <c r="C389" s="1" t="s">
        <v>13</v>
      </c>
      <c r="D389" s="14">
        <v>9846000</v>
      </c>
    </row>
    <row r="390" spans="1:4" ht="15.75" thickBot="1">
      <c r="A390" s="52"/>
      <c r="B390" s="56"/>
      <c r="C390" s="2" t="s">
        <v>14</v>
      </c>
      <c r="D390" s="46">
        <f>D389/D388</f>
        <v>1.0218494260347744</v>
      </c>
    </row>
    <row r="391" spans="1:4">
      <c r="A391" s="52"/>
      <c r="B391" s="54" t="s">
        <v>8</v>
      </c>
      <c r="C391" s="3" t="s">
        <v>12</v>
      </c>
      <c r="D391" s="13">
        <v>0</v>
      </c>
    </row>
    <row r="392" spans="1:4">
      <c r="A392" s="52"/>
      <c r="B392" s="55"/>
      <c r="C392" s="1" t="s">
        <v>13</v>
      </c>
      <c r="D392" s="14">
        <v>0</v>
      </c>
    </row>
    <row r="393" spans="1:4" ht="15.75" thickBot="1">
      <c r="A393" s="52"/>
      <c r="B393" s="56"/>
      <c r="C393" s="2" t="s">
        <v>14</v>
      </c>
      <c r="D393" s="10" t="e">
        <f>D392/D391</f>
        <v>#DIV/0!</v>
      </c>
    </row>
    <row r="394" spans="1:4">
      <c r="A394" s="52"/>
      <c r="B394" s="57" t="s">
        <v>9</v>
      </c>
      <c r="C394" s="3" t="s">
        <v>12</v>
      </c>
      <c r="D394" s="11">
        <f>D373+D376+D379+D382+D385+D388+D391</f>
        <v>98347500.480000004</v>
      </c>
    </row>
    <row r="395" spans="1:4">
      <c r="A395" s="52"/>
      <c r="B395" s="58"/>
      <c r="C395" s="1" t="s">
        <v>13</v>
      </c>
      <c r="D395" s="14">
        <f>D374+D377+D380+D383+D386+D389+D392</f>
        <v>101081424</v>
      </c>
    </row>
    <row r="396" spans="1:4" ht="15.75" thickBot="1">
      <c r="A396" s="53"/>
      <c r="B396" s="59"/>
      <c r="C396" s="2" t="s">
        <v>14</v>
      </c>
      <c r="D396" s="46">
        <f>D395/D394</f>
        <v>1.0277986070480354</v>
      </c>
    </row>
    <row r="397" spans="1:4" ht="15.75" thickBot="1"/>
    <row r="398" spans="1:4" ht="15.75" thickBot="1">
      <c r="A398" s="4" t="s">
        <v>0</v>
      </c>
      <c r="B398" s="7" t="s">
        <v>10</v>
      </c>
      <c r="C398" s="5" t="s">
        <v>1</v>
      </c>
      <c r="D398" s="6" t="s">
        <v>11</v>
      </c>
    </row>
    <row r="399" spans="1:4">
      <c r="A399" s="63" t="s">
        <v>39</v>
      </c>
      <c r="B399" s="54" t="s">
        <v>2</v>
      </c>
      <c r="C399" s="3" t="s">
        <v>12</v>
      </c>
      <c r="D399" s="11">
        <v>42757044</v>
      </c>
    </row>
    <row r="400" spans="1:4">
      <c r="A400" s="64"/>
      <c r="B400" s="55"/>
      <c r="C400" s="1" t="s">
        <v>13</v>
      </c>
      <c r="D400" s="12">
        <v>43640118</v>
      </c>
    </row>
    <row r="401" spans="1:4" ht="15.75" thickBot="1">
      <c r="A401" s="64"/>
      <c r="B401" s="56"/>
      <c r="C401" s="2" t="s">
        <v>14</v>
      </c>
      <c r="D401" s="46">
        <f>D400/D399</f>
        <v>1.0206532986705068</v>
      </c>
    </row>
    <row r="402" spans="1:4">
      <c r="A402" s="64"/>
      <c r="B402" s="54" t="s">
        <v>3</v>
      </c>
      <c r="C402" s="3" t="s">
        <v>12</v>
      </c>
      <c r="D402" s="11">
        <v>6125130</v>
      </c>
    </row>
    <row r="403" spans="1:4">
      <c r="A403" s="64"/>
      <c r="B403" s="55"/>
      <c r="C403" s="1" t="s">
        <v>13</v>
      </c>
      <c r="D403" s="12">
        <v>6383220</v>
      </c>
    </row>
    <row r="404" spans="1:4" ht="15.75" thickBot="1">
      <c r="A404" s="64"/>
      <c r="B404" s="56"/>
      <c r="C404" s="2" t="s">
        <v>14</v>
      </c>
      <c r="D404" s="10">
        <f>D403/D402</f>
        <v>1.0421362485367658</v>
      </c>
    </row>
    <row r="405" spans="1:4">
      <c r="A405" s="64"/>
      <c r="B405" s="54" t="s">
        <v>4</v>
      </c>
      <c r="C405" s="3" t="s">
        <v>12</v>
      </c>
      <c r="D405" s="11">
        <v>1024517</v>
      </c>
    </row>
    <row r="406" spans="1:4">
      <c r="A406" s="64"/>
      <c r="B406" s="55"/>
      <c r="C406" s="1" t="s">
        <v>13</v>
      </c>
      <c r="D406" s="12">
        <v>1310596</v>
      </c>
    </row>
    <row r="407" spans="1:4" ht="15.75" thickBot="1">
      <c r="A407" s="64"/>
      <c r="B407" s="56"/>
      <c r="C407" s="2" t="s">
        <v>14</v>
      </c>
      <c r="D407" s="37">
        <f>D406/D405</f>
        <v>1.2792330434731682</v>
      </c>
    </row>
    <row r="408" spans="1:4">
      <c r="A408" s="64"/>
      <c r="B408" s="54" t="s">
        <v>5</v>
      </c>
      <c r="C408" s="3" t="s">
        <v>12</v>
      </c>
      <c r="D408" s="13">
        <v>1187363</v>
      </c>
    </row>
    <row r="409" spans="1:4">
      <c r="A409" s="64"/>
      <c r="B409" s="55"/>
      <c r="C409" s="1" t="s">
        <v>13</v>
      </c>
      <c r="D409" s="14">
        <v>1189533</v>
      </c>
    </row>
    <row r="410" spans="1:4" ht="15.75" thickBot="1">
      <c r="A410" s="64"/>
      <c r="B410" s="56"/>
      <c r="C410" s="2" t="s">
        <v>14</v>
      </c>
      <c r="D410" s="46">
        <f>D409/D408</f>
        <v>1.001827579265987</v>
      </c>
    </row>
    <row r="411" spans="1:4">
      <c r="A411" s="64"/>
      <c r="B411" s="54" t="s">
        <v>6</v>
      </c>
      <c r="C411" s="3" t="s">
        <v>12</v>
      </c>
      <c r="D411" s="13">
        <v>6267134</v>
      </c>
    </row>
    <row r="412" spans="1:4">
      <c r="A412" s="64"/>
      <c r="B412" s="55"/>
      <c r="C412" s="1" t="s">
        <v>13</v>
      </c>
      <c r="D412" s="14">
        <v>6583368</v>
      </c>
    </row>
    <row r="413" spans="1:4" ht="15.75" thickBot="1">
      <c r="A413" s="64"/>
      <c r="B413" s="56"/>
      <c r="C413" s="2" t="s">
        <v>14</v>
      </c>
      <c r="D413" s="37">
        <f>D412/D411</f>
        <v>1.0504591093791835</v>
      </c>
    </row>
    <row r="414" spans="1:4">
      <c r="A414" s="64"/>
      <c r="B414" s="54" t="s">
        <v>7</v>
      </c>
      <c r="C414" s="3" t="s">
        <v>12</v>
      </c>
      <c r="D414" s="13">
        <v>0</v>
      </c>
    </row>
    <row r="415" spans="1:4">
      <c r="A415" s="64"/>
      <c r="B415" s="55"/>
      <c r="C415" s="1" t="s">
        <v>13</v>
      </c>
      <c r="D415" s="14">
        <v>0</v>
      </c>
    </row>
    <row r="416" spans="1:4" ht="15.75" thickBot="1">
      <c r="A416" s="64"/>
      <c r="B416" s="56"/>
      <c r="C416" s="2" t="s">
        <v>14</v>
      </c>
      <c r="D416" s="10" t="e">
        <f>D415/D414</f>
        <v>#DIV/0!</v>
      </c>
    </row>
    <row r="417" spans="1:4">
      <c r="A417" s="64"/>
      <c r="B417" s="54" t="s">
        <v>8</v>
      </c>
      <c r="C417" s="3" t="s">
        <v>12</v>
      </c>
      <c r="D417" s="13">
        <v>0</v>
      </c>
    </row>
    <row r="418" spans="1:4">
      <c r="A418" s="64"/>
      <c r="B418" s="55"/>
      <c r="C418" s="1" t="s">
        <v>13</v>
      </c>
      <c r="D418" s="14">
        <v>0</v>
      </c>
    </row>
    <row r="419" spans="1:4" ht="15.75" thickBot="1">
      <c r="A419" s="64"/>
      <c r="B419" s="56"/>
      <c r="C419" s="2" t="s">
        <v>14</v>
      </c>
      <c r="D419" s="10" t="e">
        <f>D418/D417</f>
        <v>#DIV/0!</v>
      </c>
    </row>
    <row r="420" spans="1:4">
      <c r="A420" s="64"/>
      <c r="B420" s="57" t="s">
        <v>9</v>
      </c>
      <c r="C420" s="3" t="s">
        <v>12</v>
      </c>
      <c r="D420" s="11">
        <f>D399+D402+D405+D408+D411+D414+D417</f>
        <v>57361188</v>
      </c>
    </row>
    <row r="421" spans="1:4">
      <c r="A421" s="64"/>
      <c r="B421" s="58"/>
      <c r="C421" s="1" t="s">
        <v>13</v>
      </c>
      <c r="D421" s="14">
        <f>D400+D403+D406+D409+D412+D415+D418</f>
        <v>59106835</v>
      </c>
    </row>
    <row r="422" spans="1:4" ht="15.75" thickBot="1">
      <c r="A422" s="65"/>
      <c r="B422" s="59"/>
      <c r="C422" s="2" t="s">
        <v>14</v>
      </c>
      <c r="D422" s="10">
        <f>D421/D420</f>
        <v>1.030432546132064</v>
      </c>
    </row>
    <row r="423" spans="1:4" ht="15.75" thickBot="1"/>
    <row r="424" spans="1:4" ht="15.75" thickBot="1">
      <c r="A424" s="16" t="s">
        <v>0</v>
      </c>
      <c r="B424" s="17" t="s">
        <v>10</v>
      </c>
      <c r="C424" s="18" t="s">
        <v>1</v>
      </c>
      <c r="D424" s="6" t="s">
        <v>15</v>
      </c>
    </row>
    <row r="425" spans="1:4">
      <c r="A425" s="51" t="s">
        <v>40</v>
      </c>
      <c r="B425" s="54" t="s">
        <v>2</v>
      </c>
      <c r="C425" s="3" t="s">
        <v>12</v>
      </c>
      <c r="D425" s="11">
        <v>110225621.14285715</v>
      </c>
    </row>
    <row r="426" spans="1:4">
      <c r="A426" s="52"/>
      <c r="B426" s="55"/>
      <c r="C426" s="1" t="s">
        <v>13</v>
      </c>
      <c r="D426" s="11">
        <v>112513404</v>
      </c>
    </row>
    <row r="427" spans="1:4" ht="15.75" thickBot="1">
      <c r="A427" s="52"/>
      <c r="B427" s="56"/>
      <c r="C427" s="2" t="s">
        <v>16</v>
      </c>
      <c r="D427" s="46">
        <f>D426/D425</f>
        <v>1.0207554544344801</v>
      </c>
    </row>
    <row r="428" spans="1:4">
      <c r="A428" s="52"/>
      <c r="B428" s="54" t="s">
        <v>3</v>
      </c>
      <c r="C428" s="3" t="s">
        <v>12</v>
      </c>
      <c r="D428" s="11">
        <v>8855580</v>
      </c>
    </row>
    <row r="429" spans="1:4">
      <c r="A429" s="52"/>
      <c r="B429" s="55"/>
      <c r="C429" s="1" t="s">
        <v>13</v>
      </c>
      <c r="D429" s="12">
        <v>10505730</v>
      </c>
    </row>
    <row r="430" spans="1:4" ht="15.75" thickBot="1">
      <c r="A430" s="52"/>
      <c r="B430" s="56"/>
      <c r="C430" s="2" t="s">
        <v>16</v>
      </c>
      <c r="D430" s="37">
        <f>D429/D428</f>
        <v>1.1863401380824294</v>
      </c>
    </row>
    <row r="431" spans="1:4">
      <c r="A431" s="52"/>
      <c r="B431" s="54" t="s">
        <v>4</v>
      </c>
      <c r="C431" s="3" t="s">
        <v>12</v>
      </c>
      <c r="D431" s="11">
        <v>11437630</v>
      </c>
    </row>
    <row r="432" spans="1:4">
      <c r="A432" s="52"/>
      <c r="B432" s="55"/>
      <c r="C432" s="1" t="s">
        <v>13</v>
      </c>
      <c r="D432" s="12">
        <v>12126138</v>
      </c>
    </row>
    <row r="433" spans="1:4" ht="15.75" thickBot="1">
      <c r="A433" s="52"/>
      <c r="B433" s="56"/>
      <c r="C433" s="2" t="s">
        <v>16</v>
      </c>
      <c r="D433" s="37">
        <f>D432/D431</f>
        <v>1.0601967365616829</v>
      </c>
    </row>
    <row r="434" spans="1:4">
      <c r="A434" s="52"/>
      <c r="B434" s="54" t="s">
        <v>5</v>
      </c>
      <c r="C434" s="3" t="s">
        <v>12</v>
      </c>
      <c r="D434" s="13">
        <v>1451040</v>
      </c>
    </row>
    <row r="435" spans="1:4">
      <c r="A435" s="52"/>
      <c r="B435" s="55"/>
      <c r="C435" s="1" t="s">
        <v>13</v>
      </c>
      <c r="D435" s="14">
        <v>1414899</v>
      </c>
    </row>
    <row r="436" spans="1:4" ht="15.75" thickBot="1">
      <c r="A436" s="52"/>
      <c r="B436" s="56"/>
      <c r="C436" s="2" t="s">
        <v>16</v>
      </c>
      <c r="D436" s="46">
        <f>D435/D434</f>
        <v>0.97509303671849157</v>
      </c>
    </row>
    <row r="437" spans="1:4">
      <c r="A437" s="52"/>
      <c r="B437" s="54" t="s">
        <v>6</v>
      </c>
      <c r="C437" s="3" t="s">
        <v>12</v>
      </c>
      <c r="D437" s="13">
        <v>3515187</v>
      </c>
    </row>
    <row r="438" spans="1:4">
      <c r="A438" s="52"/>
      <c r="B438" s="55"/>
      <c r="C438" s="1" t="s">
        <v>13</v>
      </c>
      <c r="D438" s="14">
        <v>4338495</v>
      </c>
    </row>
    <row r="439" spans="1:4" ht="15.75" thickBot="1">
      <c r="A439" s="52"/>
      <c r="B439" s="56"/>
      <c r="C439" s="2" t="s">
        <v>16</v>
      </c>
      <c r="D439" s="37">
        <f>D438/D437</f>
        <v>1.234214566678814</v>
      </c>
    </row>
    <row r="440" spans="1:4">
      <c r="A440" s="52"/>
      <c r="B440" s="54" t="s">
        <v>7</v>
      </c>
      <c r="C440" s="3" t="s">
        <v>12</v>
      </c>
      <c r="D440" s="13"/>
    </row>
    <row r="441" spans="1:4">
      <c r="A441" s="52"/>
      <c r="B441" s="55"/>
      <c r="C441" s="1" t="s">
        <v>13</v>
      </c>
      <c r="D441" s="14"/>
    </row>
    <row r="442" spans="1:4" ht="15.75" thickBot="1">
      <c r="A442" s="52"/>
      <c r="B442" s="56"/>
      <c r="C442" s="2" t="s">
        <v>16</v>
      </c>
      <c r="D442" s="10" t="e">
        <f>D441/D440</f>
        <v>#DIV/0!</v>
      </c>
    </row>
    <row r="443" spans="1:4">
      <c r="A443" s="52"/>
      <c r="B443" s="54" t="s">
        <v>8</v>
      </c>
      <c r="C443" s="3" t="s">
        <v>12</v>
      </c>
      <c r="D443" s="13"/>
    </row>
    <row r="444" spans="1:4">
      <c r="A444" s="52"/>
      <c r="B444" s="55"/>
      <c r="C444" s="1" t="s">
        <v>13</v>
      </c>
      <c r="D444" s="14"/>
    </row>
    <row r="445" spans="1:4" ht="15.75" thickBot="1">
      <c r="A445" s="52"/>
      <c r="B445" s="56"/>
      <c r="C445" s="2" t="s">
        <v>16</v>
      </c>
      <c r="D445" s="10" t="e">
        <f>D444/D443</f>
        <v>#DIV/0!</v>
      </c>
    </row>
    <row r="446" spans="1:4">
      <c r="A446" s="52"/>
      <c r="B446" s="60" t="s">
        <v>9</v>
      </c>
      <c r="C446" s="3" t="s">
        <v>12</v>
      </c>
      <c r="D446" s="11">
        <f>D425+D428+D431+D434+D437+D440+D443</f>
        <v>135485058.14285713</v>
      </c>
    </row>
    <row r="447" spans="1:4">
      <c r="A447" s="52"/>
      <c r="B447" s="61"/>
      <c r="C447" s="1" t="s">
        <v>13</v>
      </c>
      <c r="D447" s="14">
        <f>D426+D429+D432+D435+D438+D441+D444</f>
        <v>140898666</v>
      </c>
    </row>
    <row r="448" spans="1:4" ht="15.75" thickBot="1">
      <c r="A448" s="53"/>
      <c r="B448" s="62"/>
      <c r="C448" s="2" t="s">
        <v>16</v>
      </c>
      <c r="D448" s="10">
        <f>D447/D446</f>
        <v>1.039957231678158</v>
      </c>
    </row>
    <row r="449" spans="1:4" ht="15.75" thickBot="1"/>
    <row r="450" spans="1:4" ht="15.75" thickBot="1">
      <c r="A450" s="4" t="s">
        <v>0</v>
      </c>
      <c r="B450" s="7" t="s">
        <v>10</v>
      </c>
      <c r="C450" s="5" t="s">
        <v>1</v>
      </c>
      <c r="D450" s="6" t="s">
        <v>11</v>
      </c>
    </row>
    <row r="451" spans="1:4">
      <c r="A451" s="51" t="s">
        <v>41</v>
      </c>
      <c r="B451" s="54" t="s">
        <v>2</v>
      </c>
      <c r="C451" s="3" t="s">
        <v>12</v>
      </c>
      <c r="D451" s="11">
        <v>27879927</v>
      </c>
    </row>
    <row r="452" spans="1:4">
      <c r="A452" s="52"/>
      <c r="B452" s="55"/>
      <c r="C452" s="1" t="s">
        <v>13</v>
      </c>
      <c r="D452" s="12">
        <v>28378509</v>
      </c>
    </row>
    <row r="453" spans="1:4" ht="15.75" thickBot="1">
      <c r="A453" s="52"/>
      <c r="B453" s="56"/>
      <c r="C453" s="2" t="s">
        <v>14</v>
      </c>
      <c r="D453" s="46">
        <f>D452/D451</f>
        <v>1.0178831888620081</v>
      </c>
    </row>
    <row r="454" spans="1:4">
      <c r="A454" s="52"/>
      <c r="B454" s="54" t="s">
        <v>3</v>
      </c>
      <c r="C454" s="3" t="s">
        <v>12</v>
      </c>
      <c r="D454" s="11">
        <v>2068689</v>
      </c>
    </row>
    <row r="455" spans="1:4">
      <c r="A455" s="52"/>
      <c r="B455" s="55"/>
      <c r="C455" s="1" t="s">
        <v>13</v>
      </c>
      <c r="D455" s="12">
        <v>2315160</v>
      </c>
    </row>
    <row r="456" spans="1:4" ht="15.75" thickBot="1">
      <c r="A456" s="52"/>
      <c r="B456" s="56"/>
      <c r="C456" s="2" t="s">
        <v>14</v>
      </c>
      <c r="D456" s="37">
        <f>D455/D454</f>
        <v>1.1191435735386035</v>
      </c>
    </row>
    <row r="457" spans="1:4">
      <c r="A457" s="52"/>
      <c r="B457" s="54" t="s">
        <v>4</v>
      </c>
      <c r="C457" s="3" t="s">
        <v>12</v>
      </c>
      <c r="D457" s="11">
        <v>1453734</v>
      </c>
    </row>
    <row r="458" spans="1:4">
      <c r="A458" s="52"/>
      <c r="B458" s="55"/>
      <c r="C458" s="1" t="s">
        <v>13</v>
      </c>
      <c r="D458" s="12">
        <v>1487745</v>
      </c>
    </row>
    <row r="459" spans="1:4" ht="15.75" thickBot="1">
      <c r="A459" s="52"/>
      <c r="B459" s="56"/>
      <c r="C459" s="2" t="s">
        <v>14</v>
      </c>
      <c r="D459" s="46">
        <f>D458/D457</f>
        <v>1.0233956143283434</v>
      </c>
    </row>
    <row r="460" spans="1:4">
      <c r="A460" s="52"/>
      <c r="B460" s="54" t="s">
        <v>5</v>
      </c>
      <c r="C460" s="3" t="s">
        <v>12</v>
      </c>
      <c r="D460" s="13">
        <v>766089</v>
      </c>
    </row>
    <row r="461" spans="1:4">
      <c r="A461" s="52"/>
      <c r="B461" s="55"/>
      <c r="C461" s="1" t="s">
        <v>13</v>
      </c>
      <c r="D461" s="14">
        <v>1184609</v>
      </c>
    </row>
    <row r="462" spans="1:4" ht="15.75" thickBot="1">
      <c r="A462" s="52"/>
      <c r="B462" s="56"/>
      <c r="C462" s="2" t="s">
        <v>14</v>
      </c>
      <c r="D462" s="37">
        <f>D461/D460</f>
        <v>1.5463072828352842</v>
      </c>
    </row>
    <row r="463" spans="1:4">
      <c r="A463" s="52"/>
      <c r="B463" s="54" t="s">
        <v>6</v>
      </c>
      <c r="C463" s="3" t="s">
        <v>12</v>
      </c>
      <c r="D463" s="13">
        <v>1598109</v>
      </c>
    </row>
    <row r="464" spans="1:4">
      <c r="A464" s="52"/>
      <c r="B464" s="55"/>
      <c r="C464" s="1" t="s">
        <v>13</v>
      </c>
      <c r="D464" s="14">
        <v>1919094</v>
      </c>
    </row>
    <row r="465" spans="1:4" ht="15.75" thickBot="1">
      <c r="A465" s="52"/>
      <c r="B465" s="56"/>
      <c r="C465" s="2" t="s">
        <v>14</v>
      </c>
      <c r="D465" s="37">
        <f>D464/D463</f>
        <v>1.2008530081490061</v>
      </c>
    </row>
    <row r="466" spans="1:4">
      <c r="A466" s="52"/>
      <c r="B466" s="54" t="s">
        <v>7</v>
      </c>
      <c r="C466" s="3" t="s">
        <v>12</v>
      </c>
      <c r="D466" s="13">
        <v>40219</v>
      </c>
    </row>
    <row r="467" spans="1:4">
      <c r="A467" s="52"/>
      <c r="B467" s="55"/>
      <c r="C467" s="1" t="s">
        <v>13</v>
      </c>
      <c r="D467" s="14">
        <v>7626</v>
      </c>
    </row>
    <row r="468" spans="1:4" ht="15.75" thickBot="1">
      <c r="A468" s="52"/>
      <c r="B468" s="56"/>
      <c r="C468" s="2" t="s">
        <v>14</v>
      </c>
      <c r="D468" s="46">
        <f>D467/D466</f>
        <v>0.18961187498446008</v>
      </c>
    </row>
    <row r="469" spans="1:4">
      <c r="A469" s="52"/>
      <c r="B469" s="54" t="s">
        <v>8</v>
      </c>
      <c r="C469" s="3" t="s">
        <v>12</v>
      </c>
      <c r="D469" s="13">
        <v>6304</v>
      </c>
    </row>
    <row r="470" spans="1:4">
      <c r="A470" s="52"/>
      <c r="B470" s="55"/>
      <c r="C470" s="1" t="s">
        <v>13</v>
      </c>
      <c r="D470" s="14">
        <v>1606</v>
      </c>
    </row>
    <row r="471" spans="1:4" ht="15.75" thickBot="1">
      <c r="A471" s="52"/>
      <c r="B471" s="56"/>
      <c r="C471" s="2" t="s">
        <v>14</v>
      </c>
      <c r="D471" s="46">
        <f>D470/D469</f>
        <v>0.25475888324873097</v>
      </c>
    </row>
    <row r="472" spans="1:4">
      <c r="A472" s="52"/>
      <c r="B472" s="57" t="s">
        <v>9</v>
      </c>
      <c r="C472" s="3" t="s">
        <v>12</v>
      </c>
      <c r="D472" s="11">
        <f>D451+D454+D457+D460+D463+D466+D469</f>
        <v>33813071</v>
      </c>
    </row>
    <row r="473" spans="1:4">
      <c r="A473" s="52"/>
      <c r="B473" s="58"/>
      <c r="C473" s="1" t="s">
        <v>13</v>
      </c>
      <c r="D473" s="14">
        <f>D452+D455+D458+D461+D464+D467+D470</f>
        <v>35294349</v>
      </c>
    </row>
    <row r="474" spans="1:4" ht="15.75" thickBot="1">
      <c r="A474" s="53"/>
      <c r="B474" s="59"/>
      <c r="C474" s="2" t="s">
        <v>14</v>
      </c>
      <c r="D474" s="10">
        <f>D473/D472</f>
        <v>1.0438078517032658</v>
      </c>
    </row>
    <row r="475" spans="1:4" ht="15.75" thickBot="1"/>
    <row r="476" spans="1:4" ht="15.75" thickBot="1">
      <c r="A476" s="4" t="s">
        <v>0</v>
      </c>
      <c r="B476" s="7" t="s">
        <v>10</v>
      </c>
      <c r="C476" s="5" t="s">
        <v>1</v>
      </c>
      <c r="D476" s="6" t="s">
        <v>11</v>
      </c>
    </row>
    <row r="477" spans="1:4">
      <c r="A477" s="51" t="s">
        <v>42</v>
      </c>
      <c r="B477" s="54" t="s">
        <v>2</v>
      </c>
      <c r="C477" s="3" t="s">
        <v>12</v>
      </c>
      <c r="D477" s="11">
        <f>4*3200168</f>
        <v>12800672</v>
      </c>
    </row>
    <row r="478" spans="1:4">
      <c r="A478" s="52"/>
      <c r="B478" s="55"/>
      <c r="C478" s="1" t="s">
        <v>13</v>
      </c>
      <c r="D478" s="12">
        <f>4*3328273</f>
        <v>13313092</v>
      </c>
    </row>
    <row r="479" spans="1:4" ht="15.75" thickBot="1">
      <c r="A479" s="52"/>
      <c r="B479" s="56"/>
      <c r="C479" s="2" t="s">
        <v>14</v>
      </c>
      <c r="D479" s="10">
        <f>D478/D477</f>
        <v>1.0400307108876783</v>
      </c>
    </row>
    <row r="480" spans="1:4">
      <c r="A480" s="52"/>
      <c r="B480" s="54" t="s">
        <v>3</v>
      </c>
      <c r="C480" s="3" t="s">
        <v>12</v>
      </c>
      <c r="D480" s="11">
        <f>4*313700</f>
        <v>1254800</v>
      </c>
    </row>
    <row r="481" spans="1:4">
      <c r="A481" s="52"/>
      <c r="B481" s="55"/>
      <c r="C481" s="1" t="s">
        <v>13</v>
      </c>
      <c r="D481" s="12">
        <f>4*306220</f>
        <v>1224880</v>
      </c>
    </row>
    <row r="482" spans="1:4" ht="15.75" thickBot="1">
      <c r="A482" s="52"/>
      <c r="B482" s="56"/>
      <c r="C482" s="2" t="s">
        <v>14</v>
      </c>
      <c r="D482" s="46">
        <f>D481/D480</f>
        <v>0.97615556263946446</v>
      </c>
    </row>
    <row r="483" spans="1:4">
      <c r="A483" s="52"/>
      <c r="B483" s="54" t="s">
        <v>4</v>
      </c>
      <c r="C483" s="3" t="s">
        <v>12</v>
      </c>
      <c r="D483" s="11">
        <f>4*992000</f>
        <v>3968000</v>
      </c>
    </row>
    <row r="484" spans="1:4">
      <c r="A484" s="52"/>
      <c r="B484" s="55"/>
      <c r="C484" s="1" t="s">
        <v>13</v>
      </c>
      <c r="D484" s="12">
        <f>4*1018336</f>
        <v>4073344</v>
      </c>
    </row>
    <row r="485" spans="1:4" ht="15.75" thickBot="1">
      <c r="A485" s="52"/>
      <c r="B485" s="56"/>
      <c r="C485" s="2" t="s">
        <v>14</v>
      </c>
      <c r="D485" s="46">
        <f>D484/D483</f>
        <v>1.0265483870967742</v>
      </c>
    </row>
    <row r="486" spans="1:4">
      <c r="A486" s="52"/>
      <c r="B486" s="54" t="s">
        <v>5</v>
      </c>
      <c r="C486" s="3" t="s">
        <v>12</v>
      </c>
      <c r="D486" s="13">
        <f>4*68103</f>
        <v>272412</v>
      </c>
    </row>
    <row r="487" spans="1:4">
      <c r="A487" s="52"/>
      <c r="B487" s="55"/>
      <c r="C487" s="1" t="s">
        <v>13</v>
      </c>
      <c r="D487" s="14">
        <f>4*76038</f>
        <v>304152</v>
      </c>
    </row>
    <row r="488" spans="1:4" ht="15.75" thickBot="1">
      <c r="A488" s="52"/>
      <c r="B488" s="56"/>
      <c r="C488" s="2" t="s">
        <v>14</v>
      </c>
      <c r="D488" s="37">
        <f>D487/D486</f>
        <v>1.1165146909827761</v>
      </c>
    </row>
    <row r="489" spans="1:4">
      <c r="A489" s="52"/>
      <c r="B489" s="54" t="s">
        <v>6</v>
      </c>
      <c r="C489" s="3" t="s">
        <v>12</v>
      </c>
      <c r="D489" s="13">
        <f>4*69278</f>
        <v>277112</v>
      </c>
    </row>
    <row r="490" spans="1:4">
      <c r="A490" s="52"/>
      <c r="B490" s="55"/>
      <c r="C490" s="1" t="s">
        <v>13</v>
      </c>
      <c r="D490" s="14">
        <f>4*68284</f>
        <v>273136</v>
      </c>
    </row>
    <row r="491" spans="1:4" ht="15.75" thickBot="1">
      <c r="A491" s="52"/>
      <c r="B491" s="56"/>
      <c r="C491" s="2" t="s">
        <v>14</v>
      </c>
      <c r="D491" s="46">
        <f>D490/D489</f>
        <v>0.98565201073934006</v>
      </c>
    </row>
    <row r="492" spans="1:4">
      <c r="A492" s="52"/>
      <c r="B492" s="54" t="s">
        <v>7</v>
      </c>
      <c r="C492" s="3" t="s">
        <v>12</v>
      </c>
      <c r="D492" s="13">
        <f>4*1694000</f>
        <v>6776000</v>
      </c>
    </row>
    <row r="493" spans="1:4">
      <c r="A493" s="52"/>
      <c r="B493" s="55"/>
      <c r="C493" s="1" t="s">
        <v>13</v>
      </c>
      <c r="D493" s="14">
        <f>4*1790000</f>
        <v>7160000</v>
      </c>
    </row>
    <row r="494" spans="1:4" ht="15.75" thickBot="1">
      <c r="A494" s="52"/>
      <c r="B494" s="56"/>
      <c r="C494" s="2" t="s">
        <v>14</v>
      </c>
      <c r="D494" s="37">
        <f>D493/D492</f>
        <v>1.0566706021251475</v>
      </c>
    </row>
    <row r="495" spans="1:4">
      <c r="A495" s="52"/>
      <c r="B495" s="54" t="s">
        <v>8</v>
      </c>
      <c r="C495" s="3" t="s">
        <v>12</v>
      </c>
      <c r="D495" s="13">
        <v>0</v>
      </c>
    </row>
    <row r="496" spans="1:4">
      <c r="A496" s="52"/>
      <c r="B496" s="55"/>
      <c r="C496" s="1" t="s">
        <v>13</v>
      </c>
      <c r="D496" s="14">
        <v>0</v>
      </c>
    </row>
    <row r="497" spans="1:4" ht="15.75" thickBot="1">
      <c r="A497" s="52"/>
      <c r="B497" s="56"/>
      <c r="C497" s="2" t="s">
        <v>14</v>
      </c>
      <c r="D497" s="10" t="e">
        <f>D496/D495</f>
        <v>#DIV/0!</v>
      </c>
    </row>
    <row r="498" spans="1:4">
      <c r="A498" s="52"/>
      <c r="B498" s="57" t="s">
        <v>9</v>
      </c>
      <c r="C498" s="3" t="s">
        <v>12</v>
      </c>
      <c r="D498" s="11">
        <f>D477+D480+D483+D486+D489+D492+D495</f>
        <v>25348996</v>
      </c>
    </row>
    <row r="499" spans="1:4">
      <c r="A499" s="52"/>
      <c r="B499" s="58"/>
      <c r="C499" s="1" t="s">
        <v>13</v>
      </c>
      <c r="D499" s="14">
        <f>D478+D481+D484+D487+D490+D493+D496</f>
        <v>26348604</v>
      </c>
    </row>
    <row r="500" spans="1:4" ht="15.75" thickBot="1">
      <c r="A500" s="53"/>
      <c r="B500" s="59"/>
      <c r="C500" s="2" t="s">
        <v>14</v>
      </c>
      <c r="D500" s="10">
        <f>D499/D498</f>
        <v>1.0394338300420261</v>
      </c>
    </row>
    <row r="501" spans="1:4" ht="15.75" thickBot="1"/>
    <row r="502" spans="1:4" ht="15.75" thickBot="1">
      <c r="A502" s="4" t="s">
        <v>0</v>
      </c>
      <c r="B502" s="7" t="s">
        <v>10</v>
      </c>
      <c r="C502" s="5" t="s">
        <v>1</v>
      </c>
      <c r="D502" s="6" t="s">
        <v>11</v>
      </c>
    </row>
    <row r="503" spans="1:4">
      <c r="A503" s="51" t="s">
        <v>43</v>
      </c>
      <c r="B503" s="54" t="s">
        <v>2</v>
      </c>
      <c r="C503" s="3" t="s">
        <v>12</v>
      </c>
      <c r="D503" s="11">
        <v>65635731</v>
      </c>
    </row>
    <row r="504" spans="1:4">
      <c r="A504" s="52"/>
      <c r="B504" s="55"/>
      <c r="C504" s="1" t="s">
        <v>13</v>
      </c>
      <c r="D504" s="12">
        <v>66383694</v>
      </c>
    </row>
    <row r="505" spans="1:4" ht="15.75" thickBot="1">
      <c r="A505" s="52"/>
      <c r="B505" s="56"/>
      <c r="C505" s="2" t="s">
        <v>14</v>
      </c>
      <c r="D505" s="46">
        <f>D504/D503</f>
        <v>1.0113956680089387</v>
      </c>
    </row>
    <row r="506" spans="1:4">
      <c r="A506" s="52"/>
      <c r="B506" s="54" t="s">
        <v>3</v>
      </c>
      <c r="C506" s="3" t="s">
        <v>12</v>
      </c>
      <c r="D506" s="11">
        <v>14734008</v>
      </c>
    </row>
    <row r="507" spans="1:4">
      <c r="A507" s="52"/>
      <c r="B507" s="55"/>
      <c r="C507" s="1" t="s">
        <v>13</v>
      </c>
      <c r="D507" s="12">
        <v>15461640</v>
      </c>
    </row>
    <row r="508" spans="1:4" ht="15.75" thickBot="1">
      <c r="A508" s="52"/>
      <c r="B508" s="56"/>
      <c r="C508" s="2" t="s">
        <v>14</v>
      </c>
      <c r="D508" s="10">
        <f>D507/D506</f>
        <v>1.0493845259212564</v>
      </c>
    </row>
    <row r="509" spans="1:4">
      <c r="A509" s="52"/>
      <c r="B509" s="54" t="s">
        <v>4</v>
      </c>
      <c r="C509" s="3" t="s">
        <v>12</v>
      </c>
      <c r="D509" s="11">
        <v>15913818</v>
      </c>
    </row>
    <row r="510" spans="1:4">
      <c r="A510" s="52"/>
      <c r="B510" s="55"/>
      <c r="C510" s="1" t="s">
        <v>13</v>
      </c>
      <c r="D510" s="12">
        <v>16640226</v>
      </c>
    </row>
    <row r="511" spans="1:4" ht="15.75" thickBot="1">
      <c r="A511" s="52"/>
      <c r="B511" s="56"/>
      <c r="C511" s="2" t="s">
        <v>14</v>
      </c>
      <c r="D511" s="10">
        <f>D510/D509</f>
        <v>1.0456463684579025</v>
      </c>
    </row>
    <row r="512" spans="1:4">
      <c r="A512" s="52"/>
      <c r="B512" s="54" t="s">
        <v>5</v>
      </c>
      <c r="C512" s="3" t="s">
        <v>12</v>
      </c>
      <c r="D512" s="13">
        <v>4966577</v>
      </c>
    </row>
    <row r="513" spans="1:4">
      <c r="A513" s="52"/>
      <c r="B513" s="55"/>
      <c r="C513" s="1" t="s">
        <v>13</v>
      </c>
      <c r="D513" s="14">
        <v>5443035</v>
      </c>
    </row>
    <row r="514" spans="1:4" ht="15.75" thickBot="1">
      <c r="A514" s="52"/>
      <c r="B514" s="56"/>
      <c r="C514" s="2" t="s">
        <v>14</v>
      </c>
      <c r="D514" s="37">
        <f>D513/D512</f>
        <v>1.0959328728820674</v>
      </c>
    </row>
    <row r="515" spans="1:4">
      <c r="A515" s="52"/>
      <c r="B515" s="54" t="s">
        <v>6</v>
      </c>
      <c r="C515" s="3" t="s">
        <v>12</v>
      </c>
      <c r="D515" s="13">
        <v>4932749</v>
      </c>
    </row>
    <row r="516" spans="1:4">
      <c r="A516" s="52"/>
      <c r="B516" s="55"/>
      <c r="C516" s="1" t="s">
        <v>13</v>
      </c>
      <c r="D516" s="14">
        <v>4810287</v>
      </c>
    </row>
    <row r="517" spans="1:4" ht="15.75" thickBot="1">
      <c r="A517" s="52"/>
      <c r="B517" s="56"/>
      <c r="C517" s="2" t="s">
        <v>14</v>
      </c>
      <c r="D517" s="46">
        <f>D516/D515</f>
        <v>0.97517368104478863</v>
      </c>
    </row>
    <row r="518" spans="1:4">
      <c r="A518" s="52"/>
      <c r="B518" s="54" t="s">
        <v>7</v>
      </c>
      <c r="C518" s="3" t="s">
        <v>12</v>
      </c>
      <c r="D518" s="13">
        <v>8396693</v>
      </c>
    </row>
    <row r="519" spans="1:4">
      <c r="A519" s="52"/>
      <c r="B519" s="55"/>
      <c r="C519" s="1" t="s">
        <v>13</v>
      </c>
      <c r="D519" s="14">
        <v>9009000</v>
      </c>
    </row>
    <row r="520" spans="1:4" ht="15.75" thickBot="1">
      <c r="A520" s="52"/>
      <c r="B520" s="56"/>
      <c r="C520" s="2" t="s">
        <v>14</v>
      </c>
      <c r="D520" s="37">
        <f>D519/D518</f>
        <v>1.0729223993303079</v>
      </c>
    </row>
    <row r="521" spans="1:4">
      <c r="A521" s="52"/>
      <c r="B521" s="54" t="s">
        <v>8</v>
      </c>
      <c r="C521" s="3" t="s">
        <v>12</v>
      </c>
      <c r="D521" s="13">
        <v>0</v>
      </c>
    </row>
    <row r="522" spans="1:4">
      <c r="A522" s="52"/>
      <c r="B522" s="55"/>
      <c r="C522" s="1" t="s">
        <v>13</v>
      </c>
      <c r="D522" s="14">
        <v>0</v>
      </c>
    </row>
    <row r="523" spans="1:4" ht="15.75" thickBot="1">
      <c r="A523" s="52"/>
      <c r="B523" s="56"/>
      <c r="C523" s="2" t="s">
        <v>14</v>
      </c>
      <c r="D523" s="10" t="e">
        <f>D522/D521</f>
        <v>#DIV/0!</v>
      </c>
    </row>
    <row r="524" spans="1:4">
      <c r="A524" s="52"/>
      <c r="B524" s="57" t="s">
        <v>9</v>
      </c>
      <c r="C524" s="3" t="s">
        <v>12</v>
      </c>
      <c r="D524" s="11">
        <f>D503+D506+D509+D512+D515+D518+D521</f>
        <v>114579576</v>
      </c>
    </row>
    <row r="525" spans="1:4">
      <c r="A525" s="52"/>
      <c r="B525" s="58"/>
      <c r="C525" s="1" t="s">
        <v>13</v>
      </c>
      <c r="D525" s="14">
        <f>D504+D507+D510+D513+D516+D519+D522</f>
        <v>117747882</v>
      </c>
    </row>
    <row r="526" spans="1:4" ht="15.75" thickBot="1">
      <c r="A526" s="53"/>
      <c r="B526" s="59"/>
      <c r="C526" s="2" t="s">
        <v>14</v>
      </c>
      <c r="D526" s="46">
        <f>D525/D524</f>
        <v>1.0276515772758663</v>
      </c>
    </row>
    <row r="527" spans="1:4" ht="15.75" thickBot="1"/>
    <row r="528" spans="1:4" ht="15.75" thickBot="1">
      <c r="A528" s="4" t="s">
        <v>0</v>
      </c>
      <c r="B528" s="7" t="s">
        <v>10</v>
      </c>
      <c r="C528" s="5" t="s">
        <v>1</v>
      </c>
      <c r="D528" s="6" t="s">
        <v>11</v>
      </c>
    </row>
    <row r="529" spans="1:4">
      <c r="A529" s="51" t="s">
        <v>44</v>
      </c>
      <c r="B529" s="54" t="s">
        <v>2</v>
      </c>
      <c r="C529" s="3" t="s">
        <v>12</v>
      </c>
      <c r="D529" s="11">
        <v>108196614</v>
      </c>
    </row>
    <row r="530" spans="1:4">
      <c r="A530" s="52"/>
      <c r="B530" s="55"/>
      <c r="C530" s="1" t="s">
        <v>13</v>
      </c>
      <c r="D530" s="12">
        <v>109429410</v>
      </c>
    </row>
    <row r="531" spans="1:4" ht="15.75" thickBot="1">
      <c r="A531" s="52"/>
      <c r="B531" s="56"/>
      <c r="C531" s="2" t="s">
        <v>14</v>
      </c>
      <c r="D531" s="46">
        <f>D530/D529</f>
        <v>1.0113940349371746</v>
      </c>
    </row>
    <row r="532" spans="1:4">
      <c r="A532" s="52"/>
      <c r="B532" s="54" t="s">
        <v>3</v>
      </c>
      <c r="C532" s="3" t="s">
        <v>12</v>
      </c>
      <c r="D532" s="11">
        <v>14595833</v>
      </c>
    </row>
    <row r="533" spans="1:4">
      <c r="A533" s="52"/>
      <c r="B533" s="55"/>
      <c r="C533" s="1" t="s">
        <v>13</v>
      </c>
      <c r="D533" s="12">
        <v>15438180</v>
      </c>
    </row>
    <row r="534" spans="1:4" ht="15.75" thickBot="1">
      <c r="A534" s="52"/>
      <c r="B534" s="56"/>
      <c r="C534" s="2" t="s">
        <v>14</v>
      </c>
      <c r="D534" s="37">
        <f>D533/D532</f>
        <v>1.0577114714864166</v>
      </c>
    </row>
    <row r="535" spans="1:4">
      <c r="A535" s="52"/>
      <c r="B535" s="54" t="s">
        <v>4</v>
      </c>
      <c r="C535" s="3" t="s">
        <v>12</v>
      </c>
      <c r="D535" s="11">
        <v>31378105</v>
      </c>
    </row>
    <row r="536" spans="1:4">
      <c r="A536" s="52"/>
      <c r="B536" s="55"/>
      <c r="C536" s="1" t="s">
        <v>13</v>
      </c>
      <c r="D536" s="12">
        <v>33126477</v>
      </c>
    </row>
    <row r="537" spans="1:4" ht="15.75" thickBot="1">
      <c r="A537" s="52"/>
      <c r="B537" s="56"/>
      <c r="C537" s="2" t="s">
        <v>14</v>
      </c>
      <c r="D537" s="37">
        <f>D536/D535</f>
        <v>1.0557194897524882</v>
      </c>
    </row>
    <row r="538" spans="1:4">
      <c r="A538" s="52"/>
      <c r="B538" s="54" t="s">
        <v>5</v>
      </c>
      <c r="C538" s="3" t="s">
        <v>12</v>
      </c>
      <c r="D538" s="13">
        <v>5601537</v>
      </c>
    </row>
    <row r="539" spans="1:4">
      <c r="A539" s="52"/>
      <c r="B539" s="55"/>
      <c r="C539" s="1" t="s">
        <v>13</v>
      </c>
      <c r="D539" s="14">
        <v>6140859</v>
      </c>
    </row>
    <row r="540" spans="1:4" ht="15.75" thickBot="1">
      <c r="A540" s="52"/>
      <c r="B540" s="56"/>
      <c r="C540" s="2" t="s">
        <v>14</v>
      </c>
      <c r="D540" s="37">
        <f>D539/D538</f>
        <v>1.096281074283719</v>
      </c>
    </row>
    <row r="541" spans="1:4">
      <c r="A541" s="52"/>
      <c r="B541" s="54" t="s">
        <v>6</v>
      </c>
      <c r="C541" s="3" t="s">
        <v>12</v>
      </c>
      <c r="D541" s="13">
        <v>3136309</v>
      </c>
    </row>
    <row r="542" spans="1:4">
      <c r="A542" s="52"/>
      <c r="B542" s="55"/>
      <c r="C542" s="1" t="s">
        <v>13</v>
      </c>
      <c r="D542" s="14">
        <v>3057180</v>
      </c>
    </row>
    <row r="543" spans="1:4" ht="15.75" thickBot="1">
      <c r="A543" s="52"/>
      <c r="B543" s="56"/>
      <c r="C543" s="2" t="s">
        <v>14</v>
      </c>
      <c r="D543" s="46">
        <f>D542/D541</f>
        <v>0.97477002425462544</v>
      </c>
    </row>
    <row r="544" spans="1:4">
      <c r="A544" s="52"/>
      <c r="B544" s="54" t="s">
        <v>7</v>
      </c>
      <c r="C544" s="3" t="s">
        <v>12</v>
      </c>
      <c r="D544" s="13">
        <v>26427833</v>
      </c>
    </row>
    <row r="545" spans="1:4">
      <c r="A545" s="52"/>
      <c r="B545" s="55"/>
      <c r="C545" s="1" t="s">
        <v>13</v>
      </c>
      <c r="D545" s="14">
        <v>27639000</v>
      </c>
    </row>
    <row r="546" spans="1:4" ht="15.75" thickBot="1">
      <c r="A546" s="52"/>
      <c r="B546" s="56"/>
      <c r="C546" s="2" t="s">
        <v>14</v>
      </c>
      <c r="D546" s="10">
        <f>D545/D544</f>
        <v>1.0458292210337488</v>
      </c>
    </row>
    <row r="547" spans="1:4">
      <c r="A547" s="52"/>
      <c r="B547" s="54" t="s">
        <v>8</v>
      </c>
      <c r="C547" s="3" t="s">
        <v>12</v>
      </c>
      <c r="D547" s="13">
        <v>0</v>
      </c>
    </row>
    <row r="548" spans="1:4">
      <c r="A548" s="52"/>
      <c r="B548" s="55"/>
      <c r="C548" s="1" t="s">
        <v>13</v>
      </c>
      <c r="D548" s="14">
        <v>0</v>
      </c>
    </row>
    <row r="549" spans="1:4" ht="15.75" thickBot="1">
      <c r="A549" s="52"/>
      <c r="B549" s="56"/>
      <c r="C549" s="2" t="s">
        <v>14</v>
      </c>
      <c r="D549" s="10" t="e">
        <f>D548/D547</f>
        <v>#DIV/0!</v>
      </c>
    </row>
    <row r="550" spans="1:4">
      <c r="A550" s="52"/>
      <c r="B550" s="57" t="s">
        <v>9</v>
      </c>
      <c r="C550" s="3" t="s">
        <v>12</v>
      </c>
      <c r="D550" s="11">
        <f>D529+D532+D535+D538+D541+D544+D547</f>
        <v>189336231</v>
      </c>
    </row>
    <row r="551" spans="1:4">
      <c r="A551" s="52"/>
      <c r="B551" s="58"/>
      <c r="C551" s="1" t="s">
        <v>13</v>
      </c>
      <c r="D551" s="14">
        <f>D530+D533+D536+D539+D542+D545+D548</f>
        <v>194831106</v>
      </c>
    </row>
    <row r="552" spans="1:4" ht="15.75" thickBot="1">
      <c r="A552" s="53"/>
      <c r="B552" s="59"/>
      <c r="C552" s="2" t="s">
        <v>14</v>
      </c>
      <c r="D552" s="46">
        <f>D551/D550</f>
        <v>1.0290217829465509</v>
      </c>
    </row>
    <row r="553" spans="1:4" ht="15.75" thickBot="1"/>
    <row r="554" spans="1:4" ht="15.75" thickBot="1">
      <c r="A554" s="4" t="s">
        <v>0</v>
      </c>
      <c r="B554" s="7" t="s">
        <v>10</v>
      </c>
      <c r="C554" s="5" t="s">
        <v>1</v>
      </c>
      <c r="D554" s="6" t="s">
        <v>11</v>
      </c>
    </row>
    <row r="555" spans="1:4">
      <c r="A555" s="85" t="s">
        <v>69</v>
      </c>
      <c r="B555" s="82" t="s">
        <v>61</v>
      </c>
      <c r="C555" s="3" t="s">
        <v>12</v>
      </c>
      <c r="D555" s="11">
        <v>170609136</v>
      </c>
    </row>
    <row r="556" spans="1:4">
      <c r="A556" s="86"/>
      <c r="B556" s="83"/>
      <c r="C556" s="1" t="s">
        <v>13</v>
      </c>
      <c r="D556" s="12">
        <v>174598965.87</v>
      </c>
    </row>
    <row r="557" spans="1:4" ht="15.75" thickBot="1">
      <c r="A557" s="86"/>
      <c r="B557" s="84"/>
      <c r="C557" s="2" t="s">
        <v>14</v>
      </c>
      <c r="D557" s="46">
        <f>D556/D555</f>
        <v>1.0233857925990553</v>
      </c>
    </row>
    <row r="558" spans="1:4">
      <c r="A558" s="86"/>
      <c r="B558" s="82" t="s">
        <v>62</v>
      </c>
      <c r="C558" s="3" t="s">
        <v>12</v>
      </c>
      <c r="D558" s="11">
        <v>19163765</v>
      </c>
    </row>
    <row r="559" spans="1:4">
      <c r="A559" s="86"/>
      <c r="B559" s="83"/>
      <c r="C559" s="1" t="s">
        <v>13</v>
      </c>
      <c r="D559" s="12">
        <v>21001620</v>
      </c>
    </row>
    <row r="560" spans="1:4" ht="15.75" thickBot="1">
      <c r="A560" s="86"/>
      <c r="B560" s="84"/>
      <c r="C560" s="2" t="s">
        <v>14</v>
      </c>
      <c r="D560" s="37">
        <f>D559/D558</f>
        <v>1.0959026057771006</v>
      </c>
    </row>
    <row r="561" spans="1:4">
      <c r="A561" s="86"/>
      <c r="B561" s="63" t="s">
        <v>63</v>
      </c>
      <c r="C561" s="24" t="s">
        <v>12</v>
      </c>
      <c r="D561" s="11">
        <v>1969599</v>
      </c>
    </row>
    <row r="562" spans="1:4">
      <c r="A562" s="86"/>
      <c r="B562" s="88"/>
      <c r="C562" s="25" t="s">
        <v>13</v>
      </c>
      <c r="D562" s="12">
        <v>2188500</v>
      </c>
    </row>
    <row r="563" spans="1:4" ht="15.75" thickBot="1">
      <c r="A563" s="86"/>
      <c r="B563" s="89"/>
      <c r="C563" s="2" t="s">
        <v>14</v>
      </c>
      <c r="D563" s="37">
        <f>D562/D561</f>
        <v>1.1111398817728888</v>
      </c>
    </row>
    <row r="564" spans="1:4">
      <c r="A564" s="86"/>
      <c r="B564" s="90" t="s">
        <v>64</v>
      </c>
      <c r="C564" s="3" t="s">
        <v>12</v>
      </c>
      <c r="D564" s="11">
        <v>23049444</v>
      </c>
    </row>
    <row r="565" spans="1:4">
      <c r="A565" s="86"/>
      <c r="B565" s="83"/>
      <c r="C565" s="1" t="s">
        <v>13</v>
      </c>
      <c r="D565" s="12">
        <v>22361571</v>
      </c>
    </row>
    <row r="566" spans="1:4" ht="15.75" thickBot="1">
      <c r="A566" s="86"/>
      <c r="B566" s="84"/>
      <c r="C566" s="2" t="s">
        <v>14</v>
      </c>
      <c r="D566" s="46">
        <f>D565/D564</f>
        <v>0.9701566337131603</v>
      </c>
    </row>
    <row r="567" spans="1:4">
      <c r="A567" s="86"/>
      <c r="B567" s="81" t="s">
        <v>65</v>
      </c>
      <c r="C567" s="3" t="s">
        <v>12</v>
      </c>
      <c r="D567" s="13">
        <v>7834884</v>
      </c>
    </row>
    <row r="568" spans="1:4">
      <c r="A568" s="86"/>
      <c r="B568" s="55"/>
      <c r="C568" s="1" t="s">
        <v>13</v>
      </c>
      <c r="D568" s="14">
        <v>8145006</v>
      </c>
    </row>
    <row r="569" spans="1:4" ht="15.75" thickBot="1">
      <c r="A569" s="86"/>
      <c r="B569" s="56"/>
      <c r="C569" s="2" t="s">
        <v>14</v>
      </c>
      <c r="D569" s="10">
        <f>D568/D567</f>
        <v>1.0395822069605625</v>
      </c>
    </row>
    <row r="570" spans="1:4">
      <c r="A570" s="86"/>
      <c r="B570" s="81" t="s">
        <v>65</v>
      </c>
      <c r="C570" s="3" t="s">
        <v>12</v>
      </c>
      <c r="D570" s="13">
        <v>662376</v>
      </c>
    </row>
    <row r="571" spans="1:4">
      <c r="A571" s="86"/>
      <c r="B571" s="55"/>
      <c r="C571" s="1" t="s">
        <v>13</v>
      </c>
      <c r="D571" s="14">
        <v>698685</v>
      </c>
    </row>
    <row r="572" spans="1:4" ht="15.75" thickBot="1">
      <c r="A572" s="86"/>
      <c r="B572" s="56"/>
      <c r="C572" s="2" t="s">
        <v>14</v>
      </c>
      <c r="D572" s="37">
        <f>D571/D570</f>
        <v>1.0548162976919453</v>
      </c>
    </row>
    <row r="573" spans="1:4">
      <c r="A573" s="86"/>
      <c r="B573" s="82" t="s">
        <v>66</v>
      </c>
      <c r="C573" s="3" t="s">
        <v>12</v>
      </c>
      <c r="D573" s="13">
        <v>9533859</v>
      </c>
    </row>
    <row r="574" spans="1:4">
      <c r="A574" s="86"/>
      <c r="B574" s="83"/>
      <c r="C574" s="1" t="s">
        <v>13</v>
      </c>
      <c r="D574" s="14">
        <v>10102890</v>
      </c>
    </row>
    <row r="575" spans="1:4" ht="15.75" thickBot="1">
      <c r="A575" s="86"/>
      <c r="B575" s="84"/>
      <c r="C575" s="2" t="s">
        <v>14</v>
      </c>
      <c r="D575" s="37">
        <f>D574/D573</f>
        <v>1.0596852753958288</v>
      </c>
    </row>
    <row r="576" spans="1:4">
      <c r="A576" s="86"/>
      <c r="B576" s="82" t="s">
        <v>67</v>
      </c>
      <c r="C576" s="3" t="s">
        <v>12</v>
      </c>
      <c r="D576" s="13"/>
    </row>
    <row r="577" spans="1:4">
      <c r="A577" s="86"/>
      <c r="B577" s="83"/>
      <c r="C577" s="1" t="s">
        <v>13</v>
      </c>
      <c r="D577" s="14"/>
    </row>
    <row r="578" spans="1:4" ht="15.75" thickBot="1">
      <c r="A578" s="86"/>
      <c r="B578" s="84"/>
      <c r="C578" s="2" t="s">
        <v>14</v>
      </c>
      <c r="D578" s="10" t="s">
        <v>18</v>
      </c>
    </row>
    <row r="579" spans="1:4">
      <c r="A579" s="86"/>
      <c r="B579" s="81" t="s">
        <v>68</v>
      </c>
      <c r="C579" s="3" t="s">
        <v>12</v>
      </c>
      <c r="D579" s="13">
        <v>1118871</v>
      </c>
    </row>
    <row r="580" spans="1:4">
      <c r="A580" s="86"/>
      <c r="B580" s="55"/>
      <c r="C580" s="1" t="s">
        <v>13</v>
      </c>
      <c r="D580" s="14">
        <v>1244502</v>
      </c>
    </row>
    <row r="581" spans="1:4" ht="15.75" thickBot="1">
      <c r="A581" s="86"/>
      <c r="B581" s="55"/>
      <c r="C581" s="26" t="s">
        <v>14</v>
      </c>
      <c r="D581" s="27">
        <f>D580/D579</f>
        <v>1.1122837217159083</v>
      </c>
    </row>
    <row r="582" spans="1:4">
      <c r="A582" s="86"/>
      <c r="B582" s="51" t="s">
        <v>68</v>
      </c>
      <c r="C582" s="28"/>
      <c r="D582" s="29"/>
    </row>
    <row r="583" spans="1:4">
      <c r="A583" s="86"/>
      <c r="B583" s="73"/>
      <c r="C583" s="30"/>
      <c r="D583" s="31"/>
    </row>
    <row r="584" spans="1:4" ht="15.75" thickBot="1">
      <c r="A584" s="86"/>
      <c r="B584" s="74"/>
      <c r="C584" s="2"/>
      <c r="D584" s="10" t="s">
        <v>18</v>
      </c>
    </row>
    <row r="585" spans="1:4">
      <c r="A585" s="86"/>
      <c r="B585" s="58" t="s">
        <v>9</v>
      </c>
      <c r="C585" s="3" t="s">
        <v>12</v>
      </c>
      <c r="D585" s="11">
        <f>D555+D558+D564+D567+D573+D576+D579</f>
        <v>231309959</v>
      </c>
    </row>
    <row r="586" spans="1:4">
      <c r="A586" s="86"/>
      <c r="B586" s="58"/>
      <c r="C586" s="1" t="s">
        <v>13</v>
      </c>
      <c r="D586" s="14">
        <f>D556+D559+D565+D568+D574+D577+D580</f>
        <v>237454554.87</v>
      </c>
    </row>
    <row r="587" spans="1:4" ht="15.75" thickBot="1">
      <c r="A587" s="87"/>
      <c r="B587" s="59"/>
      <c r="C587" s="2" t="s">
        <v>14</v>
      </c>
      <c r="D587" s="46">
        <f>D586/D585</f>
        <v>1.0265643377248621</v>
      </c>
    </row>
    <row r="588" spans="1:4" ht="15.75" thickBot="1"/>
    <row r="589" spans="1:4" ht="15.75" thickBot="1">
      <c r="A589" s="4" t="s">
        <v>0</v>
      </c>
      <c r="B589" s="7" t="s">
        <v>10</v>
      </c>
      <c r="C589" s="5" t="s">
        <v>1</v>
      </c>
      <c r="D589" s="6" t="s">
        <v>11</v>
      </c>
    </row>
    <row r="590" spans="1:4">
      <c r="A590" s="51" t="s">
        <v>45</v>
      </c>
      <c r="B590" s="54" t="s">
        <v>2</v>
      </c>
      <c r="C590" s="3" t="s">
        <v>12</v>
      </c>
      <c r="D590" s="11">
        <f>18683641.58*3</f>
        <v>56050924.739999995</v>
      </c>
    </row>
    <row r="591" spans="1:4">
      <c r="A591" s="52"/>
      <c r="B591" s="55"/>
      <c r="C591" s="1" t="s">
        <v>13</v>
      </c>
      <c r="D591" s="12">
        <v>56584209</v>
      </c>
    </row>
    <row r="592" spans="1:4" ht="15.75" thickBot="1">
      <c r="A592" s="52"/>
      <c r="B592" s="56"/>
      <c r="C592" s="2" t="s">
        <v>14</v>
      </c>
      <c r="D592" s="46">
        <f>D591/D590</f>
        <v>1.0095142812089848</v>
      </c>
    </row>
    <row r="593" spans="1:4">
      <c r="A593" s="52"/>
      <c r="B593" s="54" t="s">
        <v>3</v>
      </c>
      <c r="C593" s="3" t="s">
        <v>12</v>
      </c>
      <c r="D593" s="11">
        <f>4373185.42*3</f>
        <v>13119556.26</v>
      </c>
    </row>
    <row r="594" spans="1:4">
      <c r="A594" s="52"/>
      <c r="B594" s="55"/>
      <c r="C594" s="1" t="s">
        <v>13</v>
      </c>
      <c r="D594" s="12">
        <v>15031712</v>
      </c>
    </row>
    <row r="595" spans="1:4" ht="15.75" thickBot="1">
      <c r="A595" s="52"/>
      <c r="B595" s="56"/>
      <c r="C595" s="2" t="s">
        <v>14</v>
      </c>
      <c r="D595" s="37">
        <f>D594/D593</f>
        <v>1.1457485071983677</v>
      </c>
    </row>
    <row r="596" spans="1:4">
      <c r="A596" s="52"/>
      <c r="B596" s="54" t="s">
        <v>4</v>
      </c>
      <c r="C596" s="3" t="s">
        <v>12</v>
      </c>
      <c r="D596" s="11">
        <f>448824.67*3</f>
        <v>1346474.01</v>
      </c>
    </row>
    <row r="597" spans="1:4">
      <c r="A597" s="52"/>
      <c r="B597" s="55"/>
      <c r="C597" s="1" t="s">
        <v>13</v>
      </c>
      <c r="D597" s="12">
        <v>1627126</v>
      </c>
    </row>
    <row r="598" spans="1:4" ht="15.75" thickBot="1">
      <c r="A598" s="52"/>
      <c r="B598" s="56"/>
      <c r="C598" s="2" t="s">
        <v>14</v>
      </c>
      <c r="D598" s="37">
        <f>D597/D596</f>
        <v>1.2084347621384834</v>
      </c>
    </row>
    <row r="599" spans="1:4">
      <c r="A599" s="52"/>
      <c r="B599" s="54" t="s">
        <v>5</v>
      </c>
      <c r="C599" s="3" t="s">
        <v>12</v>
      </c>
      <c r="D599" s="13">
        <f>427948.75*3</f>
        <v>1283846.25</v>
      </c>
    </row>
    <row r="600" spans="1:4">
      <c r="A600" s="52"/>
      <c r="B600" s="55"/>
      <c r="C600" s="1" t="s">
        <v>13</v>
      </c>
      <c r="D600" s="14">
        <f>[1]Rekapitulace!$M$35</f>
        <v>1114323</v>
      </c>
    </row>
    <row r="601" spans="1:4" ht="15.75" thickBot="1">
      <c r="A601" s="52"/>
      <c r="B601" s="56"/>
      <c r="C601" s="2" t="s">
        <v>14</v>
      </c>
      <c r="D601" s="46">
        <f>D600/D599</f>
        <v>0.86795673547358188</v>
      </c>
    </row>
    <row r="602" spans="1:4">
      <c r="A602" s="52"/>
      <c r="B602" s="54" t="s">
        <v>6</v>
      </c>
      <c r="C602" s="3" t="s">
        <v>12</v>
      </c>
      <c r="D602" s="13">
        <f>844182.83*3</f>
        <v>2532548.4899999998</v>
      </c>
    </row>
    <row r="603" spans="1:4">
      <c r="A603" s="52"/>
      <c r="B603" s="55"/>
      <c r="C603" s="1" t="s">
        <v>13</v>
      </c>
      <c r="D603" s="14">
        <f>[1]Rekapitulace!$M$18</f>
        <v>2280729</v>
      </c>
    </row>
    <row r="604" spans="1:4" ht="15.75" thickBot="1">
      <c r="A604" s="52"/>
      <c r="B604" s="56"/>
      <c r="C604" s="2" t="s">
        <v>14</v>
      </c>
      <c r="D604" s="46">
        <f>D603/D602</f>
        <v>0.90056676466636976</v>
      </c>
    </row>
    <row r="605" spans="1:4">
      <c r="A605" s="52"/>
      <c r="B605" s="54" t="s">
        <v>7</v>
      </c>
      <c r="C605" s="3" t="s">
        <v>12</v>
      </c>
      <c r="D605" s="13"/>
    </row>
    <row r="606" spans="1:4">
      <c r="A606" s="52"/>
      <c r="B606" s="55"/>
      <c r="C606" s="1" t="s">
        <v>13</v>
      </c>
      <c r="D606" s="14"/>
    </row>
    <row r="607" spans="1:4" ht="15.75" thickBot="1">
      <c r="A607" s="52"/>
      <c r="B607" s="56"/>
      <c r="C607" s="2" t="s">
        <v>14</v>
      </c>
      <c r="D607" s="10"/>
    </row>
    <row r="608" spans="1:4">
      <c r="A608" s="52"/>
      <c r="B608" s="54" t="s">
        <v>8</v>
      </c>
      <c r="C608" s="3" t="s">
        <v>12</v>
      </c>
      <c r="D608" s="13"/>
    </row>
    <row r="609" spans="1:4">
      <c r="A609" s="52"/>
      <c r="B609" s="55"/>
      <c r="C609" s="1" t="s">
        <v>13</v>
      </c>
      <c r="D609" s="14"/>
    </row>
    <row r="610" spans="1:4" ht="15.75" thickBot="1">
      <c r="A610" s="52"/>
      <c r="B610" s="56"/>
      <c r="C610" s="2" t="s">
        <v>14</v>
      </c>
      <c r="D610" s="10"/>
    </row>
    <row r="611" spans="1:4">
      <c r="A611" s="52"/>
      <c r="B611" s="57" t="s">
        <v>9</v>
      </c>
      <c r="C611" s="3" t="s">
        <v>12</v>
      </c>
      <c r="D611" s="11">
        <f>D590+D593+D596+D599+D602+D605+D608</f>
        <v>74333349.75</v>
      </c>
    </row>
    <row r="612" spans="1:4">
      <c r="A612" s="52"/>
      <c r="B612" s="58"/>
      <c r="C612" s="1" t="s">
        <v>13</v>
      </c>
      <c r="D612" s="14">
        <f>D591+D594+D597+D600+D603+D606+D609</f>
        <v>76638099</v>
      </c>
    </row>
    <row r="613" spans="1:4" ht="15.75" thickBot="1">
      <c r="A613" s="53"/>
      <c r="B613" s="59"/>
      <c r="C613" s="2" t="s">
        <v>14</v>
      </c>
      <c r="D613" s="10">
        <f>D612/D611</f>
        <v>1.0310055884438329</v>
      </c>
    </row>
    <row r="614" spans="1:4" ht="15.75" thickBot="1"/>
    <row r="615" spans="1:4" ht="15.75" thickBot="1">
      <c r="A615" s="4" t="s">
        <v>0</v>
      </c>
      <c r="B615" s="7" t="s">
        <v>10</v>
      </c>
      <c r="C615" s="5" t="s">
        <v>1</v>
      </c>
      <c r="D615" s="6" t="s">
        <v>11</v>
      </c>
    </row>
    <row r="616" spans="1:4">
      <c r="A616" s="51" t="s">
        <v>46</v>
      </c>
      <c r="B616" s="54" t="s">
        <v>2</v>
      </c>
      <c r="C616" s="3" t="s">
        <v>12</v>
      </c>
      <c r="D616" s="11">
        <v>23689740</v>
      </c>
    </row>
    <row r="617" spans="1:4">
      <c r="A617" s="52"/>
      <c r="B617" s="55"/>
      <c r="C617" s="1" t="s">
        <v>13</v>
      </c>
      <c r="D617" s="12">
        <v>24202134</v>
      </c>
    </row>
    <row r="618" spans="1:4" ht="15.75" thickBot="1">
      <c r="A618" s="52"/>
      <c r="B618" s="56"/>
      <c r="C618" s="2" t="s">
        <v>14</v>
      </c>
      <c r="D618" s="46">
        <f>D617/D616</f>
        <v>1.0216293635979119</v>
      </c>
    </row>
    <row r="619" spans="1:4">
      <c r="A619" s="52"/>
      <c r="B619" s="54" t="s">
        <v>3</v>
      </c>
      <c r="C619" s="3" t="s">
        <v>12</v>
      </c>
      <c r="D619" s="11">
        <v>3371210</v>
      </c>
    </row>
    <row r="620" spans="1:4">
      <c r="A620" s="52"/>
      <c r="B620" s="55"/>
      <c r="C620" s="1" t="s">
        <v>13</v>
      </c>
      <c r="D620" s="12">
        <v>3844350</v>
      </c>
    </row>
    <row r="621" spans="1:4" ht="15.75" thickBot="1">
      <c r="A621" s="52"/>
      <c r="B621" s="56"/>
      <c r="C621" s="2" t="s">
        <v>14</v>
      </c>
      <c r="D621" s="37">
        <f>D620/D619</f>
        <v>1.1403472343757879</v>
      </c>
    </row>
    <row r="622" spans="1:4">
      <c r="A622" s="52"/>
      <c r="B622" s="54" t="s">
        <v>4</v>
      </c>
      <c r="C622" s="3" t="s">
        <v>12</v>
      </c>
      <c r="D622" s="11">
        <v>341945</v>
      </c>
    </row>
    <row r="623" spans="1:4">
      <c r="A623" s="52"/>
      <c r="B623" s="55"/>
      <c r="C623" s="1" t="s">
        <v>13</v>
      </c>
      <c r="D623" s="12">
        <v>301167</v>
      </c>
    </row>
    <row r="624" spans="1:4" ht="15.75" thickBot="1">
      <c r="A624" s="52"/>
      <c r="B624" s="56"/>
      <c r="C624" s="2" t="s">
        <v>14</v>
      </c>
      <c r="D624" s="46">
        <f>D623/D622</f>
        <v>0.88074690374182985</v>
      </c>
    </row>
    <row r="625" spans="1:4">
      <c r="A625" s="52"/>
      <c r="B625" s="54" t="s">
        <v>5</v>
      </c>
      <c r="C625" s="3" t="s">
        <v>12</v>
      </c>
      <c r="D625" s="13">
        <v>851508</v>
      </c>
    </row>
    <row r="626" spans="1:4">
      <c r="A626" s="52"/>
      <c r="B626" s="55"/>
      <c r="C626" s="1" t="s">
        <v>13</v>
      </c>
      <c r="D626" s="14">
        <v>917205</v>
      </c>
    </row>
    <row r="627" spans="1:4" ht="15.75" thickBot="1">
      <c r="A627" s="52"/>
      <c r="B627" s="56"/>
      <c r="C627" s="2" t="s">
        <v>14</v>
      </c>
      <c r="D627" s="37">
        <f>D626/D625</f>
        <v>1.0771537084795446</v>
      </c>
    </row>
    <row r="628" spans="1:4">
      <c r="A628" s="52"/>
      <c r="B628" s="54" t="s">
        <v>6</v>
      </c>
      <c r="C628" s="3" t="s">
        <v>12</v>
      </c>
      <c r="D628" s="13">
        <v>1374462</v>
      </c>
    </row>
    <row r="629" spans="1:4">
      <c r="A629" s="52"/>
      <c r="B629" s="55"/>
      <c r="C629" s="1" t="s">
        <v>13</v>
      </c>
      <c r="D629" s="14">
        <v>1430283</v>
      </c>
    </row>
    <row r="630" spans="1:4" ht="15.75" thickBot="1">
      <c r="A630" s="52"/>
      <c r="B630" s="56"/>
      <c r="C630" s="2" t="s">
        <v>14</v>
      </c>
      <c r="D630" s="10">
        <f>D629/D628</f>
        <v>1.0406129816611882</v>
      </c>
    </row>
    <row r="631" spans="1:4">
      <c r="A631" s="52"/>
      <c r="B631" s="54" t="s">
        <v>7</v>
      </c>
      <c r="C631" s="3" t="s">
        <v>12</v>
      </c>
      <c r="D631" s="13" t="s">
        <v>19</v>
      </c>
    </row>
    <row r="632" spans="1:4">
      <c r="A632" s="52"/>
      <c r="B632" s="55"/>
      <c r="C632" s="1" t="s">
        <v>13</v>
      </c>
      <c r="D632" s="14" t="s">
        <v>19</v>
      </c>
    </row>
    <row r="633" spans="1:4" ht="15.75" thickBot="1">
      <c r="A633" s="52"/>
      <c r="B633" s="56"/>
      <c r="C633" s="2" t="s">
        <v>14</v>
      </c>
      <c r="D633" s="10" t="e">
        <f>D632/D631</f>
        <v>#VALUE!</v>
      </c>
    </row>
    <row r="634" spans="1:4">
      <c r="A634" s="52"/>
      <c r="B634" s="54" t="s">
        <v>8</v>
      </c>
      <c r="C634" s="3" t="s">
        <v>12</v>
      </c>
      <c r="D634" s="13" t="s">
        <v>19</v>
      </c>
    </row>
    <row r="635" spans="1:4">
      <c r="A635" s="52"/>
      <c r="B635" s="55"/>
      <c r="C635" s="1" t="s">
        <v>13</v>
      </c>
      <c r="D635" s="14">
        <v>539250</v>
      </c>
    </row>
    <row r="636" spans="1:4" ht="15.75" thickBot="1">
      <c r="A636" s="52"/>
      <c r="B636" s="56"/>
      <c r="C636" s="2" t="s">
        <v>14</v>
      </c>
      <c r="D636" s="10" t="e">
        <f>D635/D634</f>
        <v>#VALUE!</v>
      </c>
    </row>
    <row r="637" spans="1:4">
      <c r="A637" s="52"/>
      <c r="B637" s="57" t="s">
        <v>9</v>
      </c>
      <c r="C637" s="3" t="s">
        <v>12</v>
      </c>
      <c r="D637" s="11">
        <f>D616+D619+D622+D625+D628</f>
        <v>29628865</v>
      </c>
    </row>
    <row r="638" spans="1:4">
      <c r="A638" s="52"/>
      <c r="B638" s="58"/>
      <c r="C638" s="1" t="s">
        <v>13</v>
      </c>
      <c r="D638" s="14">
        <f>D617+D620+D623+D626+D629</f>
        <v>30695139</v>
      </c>
    </row>
    <row r="639" spans="1:4" ht="15.75" thickBot="1">
      <c r="A639" s="53"/>
      <c r="B639" s="59"/>
      <c r="C639" s="2" t="s">
        <v>14</v>
      </c>
      <c r="D639" s="10">
        <f>D638/D637</f>
        <v>1.0359876762069691</v>
      </c>
    </row>
    <row r="640" spans="1:4" ht="15.75" thickBot="1"/>
    <row r="641" spans="1:4" ht="15.75" thickBot="1">
      <c r="A641" s="4" t="s">
        <v>0</v>
      </c>
      <c r="B641" s="7" t="s">
        <v>10</v>
      </c>
      <c r="C641" s="5" t="s">
        <v>1</v>
      </c>
      <c r="D641" s="6" t="s">
        <v>11</v>
      </c>
    </row>
    <row r="642" spans="1:4">
      <c r="A642" s="51" t="s">
        <v>47</v>
      </c>
      <c r="B642" s="54" t="s">
        <v>2</v>
      </c>
      <c r="C642" s="3" t="s">
        <v>12</v>
      </c>
      <c r="D642" s="11">
        <f>(16883745+302392+133373)*3</f>
        <v>51958530</v>
      </c>
    </row>
    <row r="643" spans="1:4">
      <c r="A643" s="52"/>
      <c r="B643" s="55"/>
      <c r="C643" s="1" t="s">
        <v>13</v>
      </c>
      <c r="D643" s="12">
        <f>17726591*3</f>
        <v>53179773</v>
      </c>
    </row>
    <row r="644" spans="1:4" ht="15.75" thickBot="1">
      <c r="A644" s="52"/>
      <c r="B644" s="56"/>
      <c r="C644" s="2" t="s">
        <v>14</v>
      </c>
      <c r="D644" s="46">
        <f>D643/D642</f>
        <v>1.0235041868967425</v>
      </c>
    </row>
    <row r="645" spans="1:4">
      <c r="A645" s="52"/>
      <c r="B645" s="54" t="s">
        <v>3</v>
      </c>
      <c r="C645" s="3" t="s">
        <v>12</v>
      </c>
      <c r="D645" s="11">
        <f>(4034225+62217+52215)*3</f>
        <v>12445971</v>
      </c>
    </row>
    <row r="646" spans="1:4">
      <c r="A646" s="52"/>
      <c r="B646" s="55"/>
      <c r="C646" s="1" t="s">
        <v>13</v>
      </c>
      <c r="D646" s="12">
        <f>4299250*3</f>
        <v>12897750</v>
      </c>
    </row>
    <row r="647" spans="1:4" ht="15.75" thickBot="1">
      <c r="A647" s="52"/>
      <c r="B647" s="56"/>
      <c r="C647" s="2" t="s">
        <v>14</v>
      </c>
      <c r="D647" s="10">
        <f>D646/D645</f>
        <v>1.0362992168308924</v>
      </c>
    </row>
    <row r="648" spans="1:4">
      <c r="A648" s="52"/>
      <c r="B648" s="54" t="s">
        <v>4</v>
      </c>
      <c r="C648" s="3" t="s">
        <v>12</v>
      </c>
      <c r="D648" s="11">
        <f>(229000+4100+1675)*3</f>
        <v>704325</v>
      </c>
    </row>
    <row r="649" spans="1:4">
      <c r="A649" s="52"/>
      <c r="B649" s="55"/>
      <c r="C649" s="1" t="s">
        <v>13</v>
      </c>
      <c r="D649" s="12">
        <f>298878*3</f>
        <v>896634</v>
      </c>
    </row>
    <row r="650" spans="1:4" ht="15.75" thickBot="1">
      <c r="A650" s="52"/>
      <c r="B650" s="56"/>
      <c r="C650" s="2" t="s">
        <v>14</v>
      </c>
      <c r="D650" s="37">
        <f>D649/D648</f>
        <v>1.2730401448195081</v>
      </c>
    </row>
    <row r="651" spans="1:4">
      <c r="A651" s="52"/>
      <c r="B651" s="54" t="s">
        <v>5</v>
      </c>
      <c r="C651" s="3" t="s">
        <v>12</v>
      </c>
      <c r="D651" s="13">
        <f>(373075+6808+4790)*3</f>
        <v>1154019</v>
      </c>
    </row>
    <row r="652" spans="1:4">
      <c r="A652" s="52"/>
      <c r="B652" s="55"/>
      <c r="C652" s="1" t="s">
        <v>13</v>
      </c>
      <c r="D652" s="14">
        <f>385705+384595+385465</f>
        <v>1155765</v>
      </c>
    </row>
    <row r="653" spans="1:4" ht="15.75" thickBot="1">
      <c r="A653" s="52"/>
      <c r="B653" s="56"/>
      <c r="C653" s="2" t="s">
        <v>14</v>
      </c>
      <c r="D653" s="46">
        <f>D652/D651</f>
        <v>1.0015129733565913</v>
      </c>
    </row>
    <row r="654" spans="1:4">
      <c r="A654" s="52"/>
      <c r="B654" s="54" t="s">
        <v>6</v>
      </c>
      <c r="C654" s="3" t="s">
        <v>12</v>
      </c>
      <c r="D654" s="32">
        <f>(729166+13608+7830)*3</f>
        <v>2251812</v>
      </c>
    </row>
    <row r="655" spans="1:4">
      <c r="A655" s="52"/>
      <c r="B655" s="55"/>
      <c r="C655" s="1" t="s">
        <v>13</v>
      </c>
      <c r="D655" s="14">
        <f>797295+795495+798075</f>
        <v>2390865</v>
      </c>
    </row>
    <row r="656" spans="1:4" ht="15.75" thickBot="1">
      <c r="A656" s="52"/>
      <c r="B656" s="56"/>
      <c r="C656" s="2" t="s">
        <v>14</v>
      </c>
      <c r="D656" s="37">
        <f>D655/D654</f>
        <v>1.0617516027092848</v>
      </c>
    </row>
    <row r="657" spans="1:4">
      <c r="A657" s="52"/>
      <c r="B657" s="54" t="s">
        <v>7</v>
      </c>
      <c r="C657" s="3" t="s">
        <v>12</v>
      </c>
      <c r="D657" s="13">
        <f>6253.43+1383+282+(75+65)*3</f>
        <v>8338.43</v>
      </c>
    </row>
    <row r="658" spans="1:4">
      <c r="A658" s="52"/>
      <c r="B658" s="55"/>
      <c r="C658" s="1" t="s">
        <v>13</v>
      </c>
      <c r="D658" s="14">
        <f>2256+3993+5857</f>
        <v>12106</v>
      </c>
    </row>
    <row r="659" spans="1:4" ht="15.75" thickBot="1">
      <c r="A659" s="52"/>
      <c r="B659" s="56"/>
      <c r="C659" s="2" t="s">
        <v>14</v>
      </c>
      <c r="D659" s="37">
        <f>D658/D657</f>
        <v>1.4518320595124021</v>
      </c>
    </row>
    <row r="660" spans="1:4">
      <c r="A660" s="52"/>
      <c r="B660" s="54" t="s">
        <v>8</v>
      </c>
      <c r="C660" s="3" t="s">
        <v>12</v>
      </c>
      <c r="D660" s="13">
        <f>238.68+8*3</f>
        <v>262.68</v>
      </c>
    </row>
    <row r="661" spans="1:4">
      <c r="A661" s="52"/>
      <c r="B661" s="55"/>
      <c r="C661" s="1" t="s">
        <v>13</v>
      </c>
      <c r="D661" s="33">
        <v>15799.05</v>
      </c>
    </row>
    <row r="662" spans="1:4" ht="15.75" thickBot="1">
      <c r="A662" s="52"/>
      <c r="B662" s="56"/>
      <c r="C662" s="2" t="s">
        <v>14</v>
      </c>
      <c r="D662" s="10">
        <f>D661/D660</f>
        <v>60.145614435815439</v>
      </c>
    </row>
    <row r="663" spans="1:4">
      <c r="A663" s="52"/>
      <c r="B663" s="57" t="s">
        <v>9</v>
      </c>
      <c r="C663" s="3" t="s">
        <v>12</v>
      </c>
      <c r="D663" s="11">
        <f>D642+D645+D648+D651+D654+D657+D660</f>
        <v>68523258.110000014</v>
      </c>
    </row>
    <row r="664" spans="1:4">
      <c r="A664" s="52"/>
      <c r="B664" s="58"/>
      <c r="C664" s="1" t="s">
        <v>13</v>
      </c>
      <c r="D664" s="14">
        <f>D643+D646+D649+D652+D655+D658+D661</f>
        <v>70548692.049999997</v>
      </c>
    </row>
    <row r="665" spans="1:4" ht="15.75" thickBot="1">
      <c r="A665" s="53"/>
      <c r="B665" s="59"/>
      <c r="C665" s="2" t="s">
        <v>14</v>
      </c>
      <c r="D665" s="10">
        <f>D664/D663</f>
        <v>1.0295583426104544</v>
      </c>
    </row>
    <row r="666" spans="1:4" ht="15.75" thickBot="1"/>
    <row r="667" spans="1:4" ht="15.75" thickBot="1">
      <c r="A667" s="16" t="s">
        <v>0</v>
      </c>
      <c r="B667" s="17" t="s">
        <v>10</v>
      </c>
      <c r="C667" s="18" t="s">
        <v>1</v>
      </c>
      <c r="D667" s="6" t="s">
        <v>15</v>
      </c>
    </row>
    <row r="668" spans="1:4">
      <c r="A668" s="51" t="s">
        <v>48</v>
      </c>
      <c r="B668" s="54" t="s">
        <v>2</v>
      </c>
      <c r="C668" s="3" t="s">
        <v>12</v>
      </c>
      <c r="D668" s="11">
        <v>90761709</v>
      </c>
    </row>
    <row r="669" spans="1:4">
      <c r="A669" s="73"/>
      <c r="B669" s="55"/>
      <c r="C669" s="1" t="s">
        <v>13</v>
      </c>
      <c r="D669" s="12">
        <v>92917728</v>
      </c>
    </row>
    <row r="670" spans="1:4" ht="15.75" thickBot="1">
      <c r="A670" s="73"/>
      <c r="B670" s="56"/>
      <c r="C670" s="2" t="s">
        <v>16</v>
      </c>
      <c r="D670" s="46">
        <f>D669/D668</f>
        <v>1.0237547201761041</v>
      </c>
    </row>
    <row r="671" spans="1:4">
      <c r="A671" s="73"/>
      <c r="B671" s="54" t="s">
        <v>3</v>
      </c>
      <c r="C671" s="3" t="s">
        <v>12</v>
      </c>
      <c r="D671" s="11">
        <v>21888246</v>
      </c>
    </row>
    <row r="672" spans="1:4">
      <c r="A672" s="73"/>
      <c r="B672" s="55"/>
      <c r="C672" s="1" t="s">
        <v>13</v>
      </c>
      <c r="D672" s="12">
        <v>22925040</v>
      </c>
    </row>
    <row r="673" spans="1:4" ht="15.75" thickBot="1">
      <c r="A673" s="73"/>
      <c r="B673" s="56"/>
      <c r="C673" s="2" t="s">
        <v>16</v>
      </c>
      <c r="D673" s="10">
        <f>D672/D671</f>
        <v>1.0473676145635424</v>
      </c>
    </row>
    <row r="674" spans="1:4">
      <c r="A674" s="73"/>
      <c r="B674" s="54" t="s">
        <v>4</v>
      </c>
      <c r="C674" s="3" t="s">
        <v>12</v>
      </c>
      <c r="D674" s="11">
        <v>11512042</v>
      </c>
    </row>
    <row r="675" spans="1:4">
      <c r="A675" s="73"/>
      <c r="B675" s="55"/>
      <c r="C675" s="1" t="s">
        <v>13</v>
      </c>
      <c r="D675" s="12">
        <v>11469948</v>
      </c>
    </row>
    <row r="676" spans="1:4" ht="15.75" thickBot="1">
      <c r="A676" s="73"/>
      <c r="B676" s="56"/>
      <c r="C676" s="2" t="s">
        <v>16</v>
      </c>
      <c r="D676" s="46">
        <f>D675/D674</f>
        <v>0.99634348102621584</v>
      </c>
    </row>
    <row r="677" spans="1:4">
      <c r="A677" s="73"/>
      <c r="B677" s="54" t="s">
        <v>5</v>
      </c>
      <c r="C677" s="3" t="s">
        <v>12</v>
      </c>
      <c r="D677" s="13">
        <v>2906335</v>
      </c>
    </row>
    <row r="678" spans="1:4">
      <c r="A678" s="73"/>
      <c r="B678" s="55"/>
      <c r="C678" s="1" t="s">
        <v>13</v>
      </c>
      <c r="D678" s="14">
        <v>2890425</v>
      </c>
    </row>
    <row r="679" spans="1:4" ht="15.75" thickBot="1">
      <c r="A679" s="73"/>
      <c r="B679" s="56"/>
      <c r="C679" s="2" t="s">
        <v>16</v>
      </c>
      <c r="D679" s="10">
        <f>D678/D677</f>
        <v>0.99452575150490219</v>
      </c>
    </row>
    <row r="680" spans="1:4">
      <c r="A680" s="73"/>
      <c r="B680" s="54" t="s">
        <v>6</v>
      </c>
      <c r="C680" s="3" t="s">
        <v>12</v>
      </c>
      <c r="D680" s="13">
        <v>3021626</v>
      </c>
    </row>
    <row r="681" spans="1:4">
      <c r="A681" s="73"/>
      <c r="B681" s="55"/>
      <c r="C681" s="1" t="s">
        <v>13</v>
      </c>
      <c r="D681" s="14">
        <v>3022176</v>
      </c>
    </row>
    <row r="682" spans="1:4" ht="15.75" thickBot="1">
      <c r="A682" s="73"/>
      <c r="B682" s="56"/>
      <c r="C682" s="2" t="s">
        <v>16</v>
      </c>
      <c r="D682" s="46">
        <f>D681/D680</f>
        <v>1.0001820212031536</v>
      </c>
    </row>
    <row r="683" spans="1:4">
      <c r="A683" s="73"/>
      <c r="B683" s="54" t="s">
        <v>7</v>
      </c>
      <c r="C683" s="3" t="s">
        <v>12</v>
      </c>
      <c r="D683" s="13">
        <v>1524535</v>
      </c>
    </row>
    <row r="684" spans="1:4">
      <c r="A684" s="73"/>
      <c r="B684" s="55"/>
      <c r="C684" s="1" t="s">
        <v>13</v>
      </c>
      <c r="D684" s="14">
        <v>1584000</v>
      </c>
    </row>
    <row r="685" spans="1:4" ht="15.75" thickBot="1">
      <c r="A685" s="73"/>
      <c r="B685" s="56"/>
      <c r="C685" s="2" t="s">
        <v>16</v>
      </c>
      <c r="D685" s="10">
        <f>D684/D683</f>
        <v>1.0390053360532885</v>
      </c>
    </row>
    <row r="686" spans="1:4">
      <c r="A686" s="73"/>
      <c r="B686" s="54" t="s">
        <v>8</v>
      </c>
      <c r="C686" s="3" t="s">
        <v>12</v>
      </c>
      <c r="D686" s="13"/>
    </row>
    <row r="687" spans="1:4">
      <c r="A687" s="73"/>
      <c r="B687" s="55"/>
      <c r="C687" s="1" t="s">
        <v>13</v>
      </c>
      <c r="D687" s="14"/>
    </row>
    <row r="688" spans="1:4" ht="15.75" thickBot="1">
      <c r="A688" s="73"/>
      <c r="B688" s="56"/>
      <c r="C688" s="2" t="s">
        <v>16</v>
      </c>
      <c r="D688" s="10" t="e">
        <f>D687/D686</f>
        <v>#DIV/0!</v>
      </c>
    </row>
    <row r="689" spans="1:4">
      <c r="A689" s="73"/>
      <c r="B689" s="60" t="s">
        <v>9</v>
      </c>
      <c r="C689" s="3" t="s">
        <v>12</v>
      </c>
      <c r="D689" s="11">
        <f>D668+D671+D674+D677+D680+D683+D686</f>
        <v>131614493</v>
      </c>
    </row>
    <row r="690" spans="1:4">
      <c r="A690" s="73"/>
      <c r="B690" s="61"/>
      <c r="C690" s="1" t="s">
        <v>13</v>
      </c>
      <c r="D690" s="14">
        <f>D669+D672+D675+D678+D681+D684+D687</f>
        <v>134809317</v>
      </c>
    </row>
    <row r="691" spans="1:4" ht="15.75" thickBot="1">
      <c r="A691" s="74"/>
      <c r="B691" s="62"/>
      <c r="C691" s="2" t="s">
        <v>16</v>
      </c>
      <c r="D691" s="46">
        <f>D690/D689</f>
        <v>1.0242741048282578</v>
      </c>
    </row>
    <row r="692" spans="1:4" ht="15.75" thickBot="1"/>
    <row r="693" spans="1:4" ht="15.75" thickBot="1">
      <c r="A693" s="4" t="s">
        <v>0</v>
      </c>
      <c r="B693" s="7" t="s">
        <v>10</v>
      </c>
      <c r="C693" s="5" t="s">
        <v>1</v>
      </c>
      <c r="D693" s="6" t="s">
        <v>11</v>
      </c>
    </row>
    <row r="694" spans="1:4">
      <c r="A694" s="51" t="s">
        <v>49</v>
      </c>
      <c r="B694" s="54" t="s">
        <v>2</v>
      </c>
      <c r="C694" s="3" t="s">
        <v>12</v>
      </c>
      <c r="D694" s="11">
        <f>10677096+249750+94350</f>
        <v>11021196</v>
      </c>
    </row>
    <row r="695" spans="1:4">
      <c r="A695" s="52"/>
      <c r="B695" s="55"/>
      <c r="C695" s="1" t="s">
        <v>13</v>
      </c>
      <c r="D695" s="12">
        <v>8584848</v>
      </c>
    </row>
    <row r="696" spans="1:4" ht="15.75" thickBot="1">
      <c r="A696" s="52"/>
      <c r="B696" s="56"/>
      <c r="C696" s="2" t="s">
        <v>14</v>
      </c>
      <c r="D696" s="46">
        <f>D695/D694</f>
        <v>0.77893978112720252</v>
      </c>
    </row>
    <row r="697" spans="1:4">
      <c r="A697" s="52"/>
      <c r="B697" s="54" t="s">
        <v>3</v>
      </c>
      <c r="C697" s="3" t="s">
        <v>12</v>
      </c>
      <c r="D697" s="11">
        <f>1620300+32325+18780</f>
        <v>1671405</v>
      </c>
    </row>
    <row r="698" spans="1:4">
      <c r="A698" s="52"/>
      <c r="B698" s="55"/>
      <c r="C698" s="1" t="s">
        <v>13</v>
      </c>
      <c r="D698" s="12">
        <v>1381650</v>
      </c>
    </row>
    <row r="699" spans="1:4" ht="15.75" thickBot="1">
      <c r="A699" s="52"/>
      <c r="B699" s="56"/>
      <c r="C699" s="2" t="s">
        <v>14</v>
      </c>
      <c r="D699" s="46">
        <f>D698/D697</f>
        <v>0.82663986286986102</v>
      </c>
    </row>
    <row r="700" spans="1:4">
      <c r="A700" s="52"/>
      <c r="B700" s="54" t="s">
        <v>4</v>
      </c>
      <c r="C700" s="3" t="s">
        <v>12</v>
      </c>
      <c r="D700" s="11">
        <f>669000+3683+7620</f>
        <v>680303</v>
      </c>
    </row>
    <row r="701" spans="1:4">
      <c r="A701" s="52"/>
      <c r="B701" s="55"/>
      <c r="C701" s="1" t="s">
        <v>13</v>
      </c>
      <c r="D701" s="12">
        <v>479313</v>
      </c>
    </row>
    <row r="702" spans="1:4" ht="15.75" thickBot="1">
      <c r="A702" s="52"/>
      <c r="B702" s="56"/>
      <c r="C702" s="2" t="s">
        <v>14</v>
      </c>
      <c r="D702" s="46">
        <f>D701/D700</f>
        <v>0.70455811601595175</v>
      </c>
    </row>
    <row r="703" spans="1:4">
      <c r="A703" s="52"/>
      <c r="B703" s="54" t="s">
        <v>5</v>
      </c>
      <c r="C703" s="3" t="s">
        <v>12</v>
      </c>
      <c r="D703" s="13">
        <f>220344+3450+3480</f>
        <v>227274</v>
      </c>
    </row>
    <row r="704" spans="1:4">
      <c r="A704" s="52"/>
      <c r="B704" s="55"/>
      <c r="C704" s="1" t="s">
        <v>13</v>
      </c>
      <c r="D704" s="14">
        <v>232728</v>
      </c>
    </row>
    <row r="705" spans="1:4" ht="15.75" thickBot="1">
      <c r="A705" s="52"/>
      <c r="B705" s="56"/>
      <c r="C705" s="2" t="s">
        <v>14</v>
      </c>
      <c r="D705" s="46">
        <f>D704/D703</f>
        <v>1.0239974656141926</v>
      </c>
    </row>
    <row r="706" spans="1:4">
      <c r="A706" s="52"/>
      <c r="B706" s="54" t="s">
        <v>6</v>
      </c>
      <c r="C706" s="3" t="s">
        <v>12</v>
      </c>
      <c r="D706" s="13">
        <f>404844+11609+7230</f>
        <v>423683</v>
      </c>
    </row>
    <row r="707" spans="1:4">
      <c r="A707" s="52"/>
      <c r="B707" s="55"/>
      <c r="C707" s="1" t="s">
        <v>13</v>
      </c>
      <c r="D707" s="14">
        <v>447761</v>
      </c>
    </row>
    <row r="708" spans="1:4" ht="15.75" thickBot="1">
      <c r="A708" s="52"/>
      <c r="B708" s="56"/>
      <c r="C708" s="2" t="s">
        <v>14</v>
      </c>
      <c r="D708" s="37">
        <f>D707/D706</f>
        <v>1.0568302244838712</v>
      </c>
    </row>
    <row r="709" spans="1:4">
      <c r="A709" s="52"/>
      <c r="B709" s="54" t="s">
        <v>7</v>
      </c>
      <c r="C709" s="3" t="s">
        <v>12</v>
      </c>
      <c r="D709" s="13">
        <f>1098+158+30</f>
        <v>1286</v>
      </c>
    </row>
    <row r="710" spans="1:4">
      <c r="A710" s="52"/>
      <c r="B710" s="55"/>
      <c r="C710" s="1" t="s">
        <v>13</v>
      </c>
      <c r="D710" s="14">
        <v>1351</v>
      </c>
    </row>
    <row r="711" spans="1:4" ht="15.75" thickBot="1">
      <c r="A711" s="52"/>
      <c r="B711" s="56"/>
      <c r="C711" s="2" t="s">
        <v>14</v>
      </c>
      <c r="D711" s="10">
        <f>D710/D709</f>
        <v>1.0505443234836702</v>
      </c>
    </row>
    <row r="712" spans="1:4">
      <c r="A712" s="52"/>
      <c r="B712" s="54" t="s">
        <v>8</v>
      </c>
      <c r="C712" s="3" t="s">
        <v>12</v>
      </c>
      <c r="D712" s="13"/>
    </row>
    <row r="713" spans="1:4">
      <c r="A713" s="52"/>
      <c r="B713" s="55"/>
      <c r="C713" s="1" t="s">
        <v>13</v>
      </c>
      <c r="D713" s="14"/>
    </row>
    <row r="714" spans="1:4" ht="15.75" thickBot="1">
      <c r="A714" s="52"/>
      <c r="B714" s="56"/>
      <c r="C714" s="2" t="s">
        <v>14</v>
      </c>
      <c r="D714" s="10" t="e">
        <f>D713/D712</f>
        <v>#DIV/0!</v>
      </c>
    </row>
    <row r="715" spans="1:4">
      <c r="A715" s="52"/>
      <c r="B715" s="57" t="s">
        <v>9</v>
      </c>
      <c r="C715" s="3" t="s">
        <v>12</v>
      </c>
      <c r="D715" s="11">
        <f>D694+D697+D700+D703+D706+D709+D712</f>
        <v>14025147</v>
      </c>
    </row>
    <row r="716" spans="1:4">
      <c r="A716" s="52"/>
      <c r="B716" s="58"/>
      <c r="C716" s="1" t="s">
        <v>13</v>
      </c>
      <c r="D716" s="14">
        <f>D695+D698+D701+D704+D707+D710+D713</f>
        <v>11127651</v>
      </c>
    </row>
    <row r="717" spans="1:4" ht="15.75" thickBot="1">
      <c r="A717" s="53"/>
      <c r="B717" s="59"/>
      <c r="C717" s="2" t="s">
        <v>14</v>
      </c>
      <c r="D717" s="46">
        <f>D716/D715</f>
        <v>0.79340708514498992</v>
      </c>
    </row>
    <row r="718" spans="1:4" ht="15.75" thickBot="1"/>
    <row r="719" spans="1:4" ht="15.75" thickBot="1">
      <c r="A719" s="4" t="s">
        <v>0</v>
      </c>
      <c r="B719" s="7" t="s">
        <v>10</v>
      </c>
      <c r="C719" s="5" t="s">
        <v>1</v>
      </c>
      <c r="D719" s="6" t="s">
        <v>11</v>
      </c>
    </row>
    <row r="720" spans="1:4">
      <c r="A720" s="51" t="s">
        <v>50</v>
      </c>
      <c r="B720" s="54" t="s">
        <v>2</v>
      </c>
      <c r="C720" s="3" t="s">
        <v>12</v>
      </c>
      <c r="D720" s="11">
        <f>87892827+580230</f>
        <v>88473057</v>
      </c>
    </row>
    <row r="721" spans="1:4">
      <c r="A721" s="52"/>
      <c r="B721" s="55"/>
      <c r="C721" s="1" t="s">
        <v>13</v>
      </c>
      <c r="D721" s="12">
        <v>91558629</v>
      </c>
    </row>
    <row r="722" spans="1:4" ht="15.75" thickBot="1">
      <c r="A722" s="52"/>
      <c r="B722" s="56"/>
      <c r="C722" s="2" t="s">
        <v>14</v>
      </c>
      <c r="D722" s="10">
        <f>D721/D720</f>
        <v>1.034875837962737</v>
      </c>
    </row>
    <row r="723" spans="1:4">
      <c r="A723" s="52"/>
      <c r="B723" s="54" t="s">
        <v>3</v>
      </c>
      <c r="C723" s="3" t="s">
        <v>12</v>
      </c>
      <c r="D723" s="11">
        <f>13646454+135810</f>
        <v>13782264</v>
      </c>
    </row>
    <row r="724" spans="1:4">
      <c r="A724" s="52"/>
      <c r="B724" s="55"/>
      <c r="C724" s="1" t="s">
        <v>13</v>
      </c>
      <c r="D724" s="12">
        <v>16110506</v>
      </c>
    </row>
    <row r="725" spans="1:4" ht="15.75" thickBot="1">
      <c r="A725" s="52"/>
      <c r="B725" s="56"/>
      <c r="C725" s="2" t="s">
        <v>14</v>
      </c>
      <c r="D725" s="37">
        <f>D724/D723</f>
        <v>1.1689303005660028</v>
      </c>
    </row>
    <row r="726" spans="1:4">
      <c r="A726" s="52"/>
      <c r="B726" s="54" t="s">
        <v>4</v>
      </c>
      <c r="C726" s="3" t="s">
        <v>12</v>
      </c>
      <c r="D726" s="11">
        <f>16094601+112200</f>
        <v>16206801</v>
      </c>
    </row>
    <row r="727" spans="1:4">
      <c r="A727" s="52"/>
      <c r="B727" s="55"/>
      <c r="C727" s="1" t="s">
        <v>13</v>
      </c>
      <c r="D727" s="12">
        <v>15785075</v>
      </c>
    </row>
    <row r="728" spans="1:4" ht="15.75" thickBot="1">
      <c r="A728" s="52"/>
      <c r="B728" s="56"/>
      <c r="C728" s="2" t="s">
        <v>14</v>
      </c>
      <c r="D728" s="46">
        <f>D727/D726</f>
        <v>0.97397845509425329</v>
      </c>
    </row>
    <row r="729" spans="1:4">
      <c r="A729" s="52"/>
      <c r="B729" s="54" t="s">
        <v>5</v>
      </c>
      <c r="C729" s="3" t="s">
        <v>12</v>
      </c>
      <c r="D729" s="13">
        <f>5709534+56070</f>
        <v>5765604</v>
      </c>
    </row>
    <row r="730" spans="1:4">
      <c r="A730" s="52"/>
      <c r="B730" s="55"/>
      <c r="C730" s="1" t="s">
        <v>13</v>
      </c>
      <c r="D730" s="14">
        <v>7157017</v>
      </c>
    </row>
    <row r="731" spans="1:4" ht="15.75" thickBot="1">
      <c r="A731" s="52"/>
      <c r="B731" s="56"/>
      <c r="C731" s="2" t="s">
        <v>14</v>
      </c>
      <c r="D731" s="37">
        <f>D730/D729</f>
        <v>1.2413299630012744</v>
      </c>
    </row>
    <row r="732" spans="1:4">
      <c r="A732" s="52"/>
      <c r="B732" s="54" t="s">
        <v>6</v>
      </c>
      <c r="C732" s="3" t="s">
        <v>12</v>
      </c>
      <c r="D732" s="13">
        <f>17691547+157650</f>
        <v>17849197</v>
      </c>
    </row>
    <row r="733" spans="1:4">
      <c r="A733" s="52"/>
      <c r="B733" s="55"/>
      <c r="C733" s="1" t="s">
        <v>13</v>
      </c>
      <c r="D733" s="14">
        <v>19168905</v>
      </c>
    </row>
    <row r="734" spans="1:4" ht="15.75" thickBot="1">
      <c r="A734" s="52"/>
      <c r="B734" s="56"/>
      <c r="C734" s="2" t="s">
        <v>14</v>
      </c>
      <c r="D734" s="37">
        <f>D733/D732</f>
        <v>1.0739365473976223</v>
      </c>
    </row>
    <row r="735" spans="1:4">
      <c r="A735" s="52"/>
      <c r="B735" s="54" t="s">
        <v>7</v>
      </c>
      <c r="C735" s="3" t="s">
        <v>12</v>
      </c>
      <c r="D735" s="13">
        <f>1096+90</f>
        <v>1186</v>
      </c>
    </row>
    <row r="736" spans="1:4">
      <c r="A736" s="52"/>
      <c r="B736" s="55"/>
      <c r="C736" s="1" t="s">
        <v>13</v>
      </c>
      <c r="D736" s="14">
        <v>18956</v>
      </c>
    </row>
    <row r="737" spans="1:4" ht="15.75" thickBot="1">
      <c r="A737" s="52"/>
      <c r="B737" s="56"/>
      <c r="C737" s="2" t="s">
        <v>14</v>
      </c>
      <c r="D737" s="10">
        <f>D736/D735</f>
        <v>15.983136593591906</v>
      </c>
    </row>
    <row r="738" spans="1:4">
      <c r="A738" s="52"/>
      <c r="B738" s="54" t="s">
        <v>8</v>
      </c>
      <c r="C738" s="3" t="s">
        <v>12</v>
      </c>
      <c r="D738" s="13">
        <f>5829+60</f>
        <v>5889</v>
      </c>
    </row>
    <row r="739" spans="1:4">
      <c r="A739" s="52"/>
      <c r="B739" s="55"/>
      <c r="C739" s="1" t="s">
        <v>13</v>
      </c>
      <c r="D739" s="14">
        <v>9420</v>
      </c>
    </row>
    <row r="740" spans="1:4" ht="15.75" thickBot="1">
      <c r="A740" s="52"/>
      <c r="B740" s="56"/>
      <c r="C740" s="2" t="s">
        <v>14</v>
      </c>
      <c r="D740" s="10">
        <f>D739/D738</f>
        <v>1.5995924605196128</v>
      </c>
    </row>
    <row r="741" spans="1:4">
      <c r="A741" s="52"/>
      <c r="B741" s="57" t="s">
        <v>9</v>
      </c>
      <c r="C741" s="3" t="s">
        <v>12</v>
      </c>
      <c r="D741" s="11">
        <f>D720+D723+D726+D729+D732+D735+D738</f>
        <v>142083998</v>
      </c>
    </row>
    <row r="742" spans="1:4">
      <c r="A742" s="52"/>
      <c r="B742" s="58"/>
      <c r="C742" s="1" t="s">
        <v>13</v>
      </c>
      <c r="D742" s="14">
        <f>D721+D724+D727+D730+D733+D736+D739</f>
        <v>149808508</v>
      </c>
    </row>
    <row r="743" spans="1:4" ht="15.75" thickBot="1">
      <c r="A743" s="53"/>
      <c r="B743" s="59"/>
      <c r="C743" s="2" t="s">
        <v>14</v>
      </c>
      <c r="D743" s="10">
        <f>D742/D741</f>
        <v>1.0543657984623998</v>
      </c>
    </row>
    <row r="744" spans="1:4" ht="15.75" thickBot="1"/>
    <row r="745" spans="1:4" ht="15.75" thickBot="1">
      <c r="A745" s="4" t="s">
        <v>0</v>
      </c>
      <c r="B745" s="7" t="s">
        <v>10</v>
      </c>
      <c r="C745" s="5" t="s">
        <v>1</v>
      </c>
      <c r="D745" s="6" t="s">
        <v>11</v>
      </c>
    </row>
    <row r="746" spans="1:4">
      <c r="A746" s="63" t="s">
        <v>51</v>
      </c>
      <c r="B746" s="54" t="s">
        <v>2</v>
      </c>
      <c r="C746" s="3" t="s">
        <v>12</v>
      </c>
      <c r="D746" s="11">
        <f>55258575+689225+284790</f>
        <v>56232590</v>
      </c>
    </row>
    <row r="747" spans="1:4">
      <c r="A747" s="64"/>
      <c r="B747" s="55"/>
      <c r="C747" s="1" t="s">
        <v>13</v>
      </c>
      <c r="D747" s="12">
        <v>57560109</v>
      </c>
    </row>
    <row r="748" spans="1:4" ht="15.75" thickBot="1">
      <c r="A748" s="64"/>
      <c r="B748" s="56"/>
      <c r="C748" s="2" t="s">
        <v>14</v>
      </c>
      <c r="D748" s="46">
        <f>D747/D746</f>
        <v>1.0236076446060904</v>
      </c>
    </row>
    <row r="749" spans="1:4">
      <c r="A749" s="64"/>
      <c r="B749" s="54" t="s">
        <v>3</v>
      </c>
      <c r="C749" s="3" t="s">
        <v>12</v>
      </c>
      <c r="D749" s="11">
        <f>13907700+172875+98100</f>
        <v>14178675</v>
      </c>
    </row>
    <row r="750" spans="1:4">
      <c r="A750" s="64"/>
      <c r="B750" s="55"/>
      <c r="C750" s="1" t="s">
        <v>13</v>
      </c>
      <c r="D750" s="12">
        <v>14962860</v>
      </c>
    </row>
    <row r="751" spans="1:4" ht="15.75" thickBot="1">
      <c r="A751" s="64"/>
      <c r="B751" s="56"/>
      <c r="C751" s="2" t="s">
        <v>14</v>
      </c>
      <c r="D751" s="37">
        <f>D750/D749</f>
        <v>1.0553073541780174</v>
      </c>
    </row>
    <row r="752" spans="1:4">
      <c r="A752" s="64"/>
      <c r="B752" s="54" t="s">
        <v>4</v>
      </c>
      <c r="C752" s="3" t="s">
        <v>12</v>
      </c>
      <c r="D752" s="11">
        <f>5007000+62250+34950</f>
        <v>5104200</v>
      </c>
    </row>
    <row r="753" spans="1:4">
      <c r="A753" s="64"/>
      <c r="B753" s="55"/>
      <c r="C753" s="1" t="s">
        <v>13</v>
      </c>
      <c r="D753" s="12">
        <v>5545707</v>
      </c>
    </row>
    <row r="754" spans="1:4" ht="15.75" thickBot="1">
      <c r="A754" s="64"/>
      <c r="B754" s="56"/>
      <c r="C754" s="2" t="s">
        <v>14</v>
      </c>
      <c r="D754" s="37">
        <f>D753/D752</f>
        <v>1.0864987657223464</v>
      </c>
    </row>
    <row r="755" spans="1:4">
      <c r="A755" s="64"/>
      <c r="B755" s="54" t="s">
        <v>5</v>
      </c>
      <c r="C755" s="3" t="s">
        <v>12</v>
      </c>
      <c r="D755" s="13">
        <f>3200289+45501+27960</f>
        <v>3273750</v>
      </c>
    </row>
    <row r="756" spans="1:4">
      <c r="A756" s="64"/>
      <c r="B756" s="55"/>
      <c r="C756" s="1" t="s">
        <v>13</v>
      </c>
      <c r="D756" s="14">
        <v>3912759</v>
      </c>
    </row>
    <row r="757" spans="1:4" ht="15.75" thickBot="1">
      <c r="A757" s="64"/>
      <c r="B757" s="56"/>
      <c r="C757" s="2" t="s">
        <v>14</v>
      </c>
      <c r="D757" s="37">
        <f>D756/D755</f>
        <v>1.1951917525773197</v>
      </c>
    </row>
    <row r="758" spans="1:4">
      <c r="A758" s="64"/>
      <c r="B758" s="54" t="s">
        <v>6</v>
      </c>
      <c r="C758" s="3" t="s">
        <v>12</v>
      </c>
      <c r="D758" s="13">
        <f>5375832+86674+59000</f>
        <v>5521506</v>
      </c>
    </row>
    <row r="759" spans="1:4">
      <c r="A759" s="64"/>
      <c r="B759" s="55"/>
      <c r="C759" s="1" t="s">
        <v>13</v>
      </c>
      <c r="D759" s="14">
        <v>5814333</v>
      </c>
    </row>
    <row r="760" spans="1:4" ht="15.75" thickBot="1">
      <c r="A760" s="64"/>
      <c r="B760" s="56"/>
      <c r="C760" s="2" t="s">
        <v>14</v>
      </c>
      <c r="D760" s="37">
        <f>D759/D758</f>
        <v>1.0530339005336589</v>
      </c>
    </row>
    <row r="761" spans="1:4">
      <c r="A761" s="64"/>
      <c r="B761" s="54" t="s">
        <v>7</v>
      </c>
      <c r="C761" s="3" t="s">
        <v>12</v>
      </c>
      <c r="D761" s="13">
        <v>433783</v>
      </c>
    </row>
    <row r="762" spans="1:4">
      <c r="A762" s="64"/>
      <c r="B762" s="55"/>
      <c r="C762" s="1" t="s">
        <v>13</v>
      </c>
      <c r="D762" s="14">
        <v>565291</v>
      </c>
    </row>
    <row r="763" spans="1:4" ht="15.75" thickBot="1">
      <c r="A763" s="64"/>
      <c r="B763" s="56"/>
      <c r="C763" s="2" t="s">
        <v>14</v>
      </c>
      <c r="D763" s="10">
        <f>D762/D761</f>
        <v>1.303165407588587</v>
      </c>
    </row>
    <row r="764" spans="1:4">
      <c r="A764" s="64"/>
      <c r="B764" s="54" t="s">
        <v>8</v>
      </c>
      <c r="C764" s="3" t="s">
        <v>12</v>
      </c>
      <c r="D764" s="13">
        <v>7939</v>
      </c>
    </row>
    <row r="765" spans="1:4">
      <c r="A765" s="64"/>
      <c r="B765" s="55"/>
      <c r="C765" s="1" t="s">
        <v>13</v>
      </c>
      <c r="D765" s="14">
        <v>1312</v>
      </c>
    </row>
    <row r="766" spans="1:4" ht="15.75" thickBot="1">
      <c r="A766" s="64"/>
      <c r="B766" s="56"/>
      <c r="C766" s="2" t="s">
        <v>14</v>
      </c>
      <c r="D766" s="10">
        <f>D765/D764</f>
        <v>0.16526010832598564</v>
      </c>
    </row>
    <row r="767" spans="1:4">
      <c r="A767" s="64"/>
      <c r="B767" s="57" t="s">
        <v>9</v>
      </c>
      <c r="C767" s="3" t="s">
        <v>12</v>
      </c>
      <c r="D767" s="11">
        <f>D746+D749+D752+D755+D758+D761+D764</f>
        <v>84752443</v>
      </c>
    </row>
    <row r="768" spans="1:4">
      <c r="A768" s="64"/>
      <c r="B768" s="58"/>
      <c r="C768" s="1" t="s">
        <v>13</v>
      </c>
      <c r="D768" s="14">
        <f>D747+D750+D753+D756+D759+D762+D765</f>
        <v>88362371</v>
      </c>
    </row>
    <row r="769" spans="1:4" ht="15.75" thickBot="1">
      <c r="A769" s="65"/>
      <c r="B769" s="59"/>
      <c r="C769" s="2" t="s">
        <v>14</v>
      </c>
      <c r="D769" s="10">
        <f>D768/D767</f>
        <v>1.0425937928420541</v>
      </c>
    </row>
    <row r="770" spans="1:4" ht="15.75" thickBot="1"/>
    <row r="771" spans="1:4" ht="15.75" thickBot="1">
      <c r="A771" s="16" t="s">
        <v>0</v>
      </c>
      <c r="B771" s="17" t="s">
        <v>10</v>
      </c>
      <c r="C771" s="18" t="s">
        <v>1</v>
      </c>
      <c r="D771" s="6" t="s">
        <v>15</v>
      </c>
    </row>
    <row r="772" spans="1:4">
      <c r="A772" s="63" t="s">
        <v>52</v>
      </c>
      <c r="B772" s="54" t="s">
        <v>2</v>
      </c>
      <c r="C772" s="3" t="s">
        <v>12</v>
      </c>
      <c r="D772" s="11">
        <v>92172212</v>
      </c>
    </row>
    <row r="773" spans="1:4">
      <c r="A773" s="64"/>
      <c r="B773" s="55"/>
      <c r="C773" s="1" t="s">
        <v>13</v>
      </c>
      <c r="D773" s="12">
        <v>94638528</v>
      </c>
    </row>
    <row r="774" spans="1:4" ht="15.75" thickBot="1">
      <c r="A774" s="64"/>
      <c r="B774" s="56"/>
      <c r="C774" s="2" t="s">
        <v>16</v>
      </c>
      <c r="D774" s="46">
        <f>D773/D772</f>
        <v>1.0267576956924935</v>
      </c>
    </row>
    <row r="775" spans="1:4">
      <c r="A775" s="64"/>
      <c r="B775" s="54" t="s">
        <v>3</v>
      </c>
      <c r="C775" s="3" t="s">
        <v>12</v>
      </c>
      <c r="D775" s="11">
        <v>16255820</v>
      </c>
    </row>
    <row r="776" spans="1:4">
      <c r="A776" s="64"/>
      <c r="B776" s="55"/>
      <c r="C776" s="1" t="s">
        <v>13</v>
      </c>
      <c r="D776" s="12">
        <v>17488800</v>
      </c>
    </row>
    <row r="777" spans="1:4" ht="15.75" thickBot="1">
      <c r="A777" s="64"/>
      <c r="B777" s="56"/>
      <c r="C777" s="2" t="s">
        <v>16</v>
      </c>
      <c r="D777" s="37">
        <f>D776/D775</f>
        <v>1.07584852686607</v>
      </c>
    </row>
    <row r="778" spans="1:4">
      <c r="A778" s="64"/>
      <c r="B778" s="54" t="s">
        <v>4</v>
      </c>
      <c r="C778" s="3" t="s">
        <v>12</v>
      </c>
      <c r="D778" s="11">
        <v>14127993</v>
      </c>
    </row>
    <row r="779" spans="1:4">
      <c r="A779" s="64"/>
      <c r="B779" s="55"/>
      <c r="C779" s="1" t="s">
        <v>13</v>
      </c>
      <c r="D779" s="48">
        <v>13198695</v>
      </c>
    </row>
    <row r="780" spans="1:4" ht="15.75" thickBot="1">
      <c r="A780" s="64"/>
      <c r="B780" s="56"/>
      <c r="C780" s="2" t="s">
        <v>16</v>
      </c>
      <c r="D780" s="46">
        <f>D779/D778</f>
        <v>0.93422292890433911</v>
      </c>
    </row>
    <row r="781" spans="1:4">
      <c r="A781" s="64"/>
      <c r="B781" s="54" t="s">
        <v>5</v>
      </c>
      <c r="C781" s="3" t="s">
        <v>12</v>
      </c>
      <c r="D781" s="13">
        <v>2623816</v>
      </c>
    </row>
    <row r="782" spans="1:4">
      <c r="A782" s="64"/>
      <c r="B782" s="55"/>
      <c r="C782" s="1" t="s">
        <v>13</v>
      </c>
      <c r="D782" s="14">
        <v>2581938</v>
      </c>
    </row>
    <row r="783" spans="1:4" ht="15.75" thickBot="1">
      <c r="A783" s="64"/>
      <c r="B783" s="56"/>
      <c r="C783" s="2" t="s">
        <v>16</v>
      </c>
      <c r="D783" s="46">
        <f>D782/D781</f>
        <v>0.98403927714443395</v>
      </c>
    </row>
    <row r="784" spans="1:4">
      <c r="A784" s="64"/>
      <c r="B784" s="54" t="s">
        <v>6</v>
      </c>
      <c r="C784" s="3" t="s">
        <v>12</v>
      </c>
      <c r="D784" s="13">
        <v>1531815</v>
      </c>
    </row>
    <row r="785" spans="1:4">
      <c r="A785" s="64"/>
      <c r="B785" s="55"/>
      <c r="C785" s="1" t="s">
        <v>13</v>
      </c>
      <c r="D785" s="14">
        <v>1583331</v>
      </c>
    </row>
    <row r="786" spans="1:4" ht="15.75" thickBot="1">
      <c r="A786" s="64"/>
      <c r="B786" s="56"/>
      <c r="C786" s="2" t="s">
        <v>16</v>
      </c>
      <c r="D786" s="10">
        <f>D785/D784</f>
        <v>1.0336306930014394</v>
      </c>
    </row>
    <row r="787" spans="1:4">
      <c r="A787" s="64"/>
      <c r="B787" s="54" t="s">
        <v>7</v>
      </c>
      <c r="C787" s="3" t="s">
        <v>12</v>
      </c>
      <c r="D787" s="13">
        <v>0</v>
      </c>
    </row>
    <row r="788" spans="1:4">
      <c r="A788" s="64"/>
      <c r="B788" s="55"/>
      <c r="C788" s="1" t="s">
        <v>13</v>
      </c>
      <c r="D788" s="14">
        <v>0</v>
      </c>
    </row>
    <row r="789" spans="1:4" ht="15.75" thickBot="1">
      <c r="A789" s="64"/>
      <c r="B789" s="56"/>
      <c r="C789" s="2" t="s">
        <v>16</v>
      </c>
      <c r="D789" s="10" t="e">
        <f>D788/D787</f>
        <v>#DIV/0!</v>
      </c>
    </row>
    <row r="790" spans="1:4">
      <c r="A790" s="64"/>
      <c r="B790" s="54" t="s">
        <v>8</v>
      </c>
      <c r="C790" s="3" t="s">
        <v>12</v>
      </c>
      <c r="D790" s="13">
        <v>0</v>
      </c>
    </row>
    <row r="791" spans="1:4">
      <c r="A791" s="64"/>
      <c r="B791" s="55"/>
      <c r="C791" s="1" t="s">
        <v>13</v>
      </c>
      <c r="D791" s="14">
        <v>0</v>
      </c>
    </row>
    <row r="792" spans="1:4" ht="15.75" thickBot="1">
      <c r="A792" s="64"/>
      <c r="B792" s="56"/>
      <c r="C792" s="2" t="s">
        <v>16</v>
      </c>
      <c r="D792" s="10" t="e">
        <f>D791/D790</f>
        <v>#DIV/0!</v>
      </c>
    </row>
    <row r="793" spans="1:4">
      <c r="A793" s="64"/>
      <c r="B793" s="60" t="s">
        <v>9</v>
      </c>
      <c r="C793" s="3" t="s">
        <v>12</v>
      </c>
      <c r="D793" s="11">
        <f>D772+D775+D778+D781+D784+D787+D790</f>
        <v>126711656</v>
      </c>
    </row>
    <row r="794" spans="1:4">
      <c r="A794" s="64"/>
      <c r="B794" s="61"/>
      <c r="C794" s="1" t="s">
        <v>13</v>
      </c>
      <c r="D794" s="14">
        <f>D773+D776+D779+D782+D785+D788+D791</f>
        <v>129491292</v>
      </c>
    </row>
    <row r="795" spans="1:4" ht="15.75" thickBot="1">
      <c r="A795" s="65"/>
      <c r="B795" s="62"/>
      <c r="C795" s="2" t="s">
        <v>16</v>
      </c>
      <c r="D795" s="46">
        <f>D794/D793</f>
        <v>1.0219367032816618</v>
      </c>
    </row>
    <row r="796" spans="1:4" ht="15.75" thickBot="1"/>
    <row r="797" spans="1:4" ht="15.75" thickBot="1">
      <c r="A797" s="16" t="s">
        <v>0</v>
      </c>
      <c r="B797" s="17" t="s">
        <v>10</v>
      </c>
      <c r="C797" s="18" t="s">
        <v>1</v>
      </c>
      <c r="D797" s="6" t="s">
        <v>15</v>
      </c>
    </row>
    <row r="798" spans="1:4">
      <c r="A798" s="51" t="s">
        <v>53</v>
      </c>
      <c r="B798" s="54" t="s">
        <v>2</v>
      </c>
      <c r="C798" s="3" t="s">
        <v>12</v>
      </c>
      <c r="D798" s="11">
        <v>29303868</v>
      </c>
    </row>
    <row r="799" spans="1:4">
      <c r="A799" s="52"/>
      <c r="B799" s="55"/>
      <c r="C799" s="1" t="s">
        <v>13</v>
      </c>
      <c r="D799" s="12">
        <v>29906964</v>
      </c>
    </row>
    <row r="800" spans="1:4" ht="15.75" thickBot="1">
      <c r="A800" s="52"/>
      <c r="B800" s="56"/>
      <c r="C800" s="2" t="s">
        <v>16</v>
      </c>
      <c r="D800" s="46">
        <f>D799/D798</f>
        <v>1.020580764286817</v>
      </c>
    </row>
    <row r="801" spans="1:4">
      <c r="A801" s="52"/>
      <c r="B801" s="54" t="s">
        <v>3</v>
      </c>
      <c r="C801" s="3" t="s">
        <v>12</v>
      </c>
      <c r="D801" s="11">
        <v>3201600</v>
      </c>
    </row>
    <row r="802" spans="1:4">
      <c r="A802" s="52"/>
      <c r="B802" s="55"/>
      <c r="C802" s="1" t="s">
        <v>13</v>
      </c>
      <c r="D802" s="12">
        <v>3600000</v>
      </c>
    </row>
    <row r="803" spans="1:4" ht="15.75" thickBot="1">
      <c r="A803" s="52"/>
      <c r="B803" s="56"/>
      <c r="C803" s="2" t="s">
        <v>16</v>
      </c>
      <c r="D803" s="37">
        <f>D802/D801</f>
        <v>1.1244377811094453</v>
      </c>
    </row>
    <row r="804" spans="1:4">
      <c r="A804" s="52"/>
      <c r="B804" s="54" t="s">
        <v>4</v>
      </c>
      <c r="C804" s="3" t="s">
        <v>12</v>
      </c>
      <c r="D804" s="11">
        <v>1895650</v>
      </c>
    </row>
    <row r="805" spans="1:4">
      <c r="A805" s="52"/>
      <c r="B805" s="55"/>
      <c r="C805" s="1" t="s">
        <v>13</v>
      </c>
      <c r="D805" s="12">
        <v>1743342</v>
      </c>
    </row>
    <row r="806" spans="1:4" ht="15.75" thickBot="1">
      <c r="A806" s="52"/>
      <c r="B806" s="56"/>
      <c r="C806" s="2" t="s">
        <v>16</v>
      </c>
      <c r="D806" s="46">
        <f>D805/D804</f>
        <v>0.91965394455727589</v>
      </c>
    </row>
    <row r="807" spans="1:4">
      <c r="A807" s="52"/>
      <c r="B807" s="54" t="s">
        <v>5</v>
      </c>
      <c r="C807" s="3" t="s">
        <v>12</v>
      </c>
      <c r="D807" s="13">
        <v>947779.77</v>
      </c>
    </row>
    <row r="808" spans="1:4">
      <c r="A808" s="52"/>
      <c r="B808" s="55"/>
      <c r="C808" s="1" t="s">
        <v>13</v>
      </c>
      <c r="D808" s="14">
        <v>976787.41</v>
      </c>
    </row>
    <row r="809" spans="1:4" ht="15.75" thickBot="1">
      <c r="A809" s="52"/>
      <c r="B809" s="56"/>
      <c r="C809" s="2" t="s">
        <v>16</v>
      </c>
      <c r="D809" s="10">
        <f>D808/D807</f>
        <v>1.0306058864286585</v>
      </c>
    </row>
    <row r="810" spans="1:4">
      <c r="A810" s="52"/>
      <c r="B810" s="54" t="s">
        <v>6</v>
      </c>
      <c r="C810" s="3" t="s">
        <v>12</v>
      </c>
      <c r="D810" s="13">
        <v>1718893.74</v>
      </c>
    </row>
    <row r="811" spans="1:4">
      <c r="A811" s="52"/>
      <c r="B811" s="55"/>
      <c r="C811" s="1" t="s">
        <v>13</v>
      </c>
      <c r="D811" s="14">
        <v>1779522</v>
      </c>
    </row>
    <row r="812" spans="1:4" ht="15.75" thickBot="1">
      <c r="A812" s="52"/>
      <c r="B812" s="56"/>
      <c r="C812" s="2" t="s">
        <v>16</v>
      </c>
      <c r="D812" s="10">
        <f>D811/D810</f>
        <v>1.0352716742106467</v>
      </c>
    </row>
    <row r="813" spans="1:4">
      <c r="A813" s="52"/>
      <c r="B813" s="54" t="s">
        <v>7</v>
      </c>
      <c r="C813" s="3" t="s">
        <v>12</v>
      </c>
      <c r="D813" s="13"/>
    </row>
    <row r="814" spans="1:4">
      <c r="A814" s="52"/>
      <c r="B814" s="55"/>
      <c r="C814" s="1" t="s">
        <v>13</v>
      </c>
      <c r="D814" s="14">
        <v>2282</v>
      </c>
    </row>
    <row r="815" spans="1:4" ht="15.75" thickBot="1">
      <c r="A815" s="52"/>
      <c r="B815" s="56"/>
      <c r="C815" s="2" t="s">
        <v>16</v>
      </c>
      <c r="D815" s="10" t="e">
        <f>D814/D813</f>
        <v>#DIV/0!</v>
      </c>
    </row>
    <row r="816" spans="1:4">
      <c r="A816" s="52"/>
      <c r="B816" s="54" t="s">
        <v>8</v>
      </c>
      <c r="C816" s="3" t="s">
        <v>12</v>
      </c>
      <c r="D816" s="13">
        <v>2122.19</v>
      </c>
    </row>
    <row r="817" spans="1:4">
      <c r="A817" s="52"/>
      <c r="B817" s="55"/>
      <c r="C817" s="1" t="s">
        <v>13</v>
      </c>
      <c r="D817" s="14">
        <v>31563.18</v>
      </c>
    </row>
    <row r="818" spans="1:4" ht="15.75" thickBot="1">
      <c r="A818" s="52"/>
      <c r="B818" s="56"/>
      <c r="C818" s="2" t="s">
        <v>16</v>
      </c>
      <c r="D818" s="10">
        <f>D817/D816</f>
        <v>14.872928437133339</v>
      </c>
    </row>
    <row r="819" spans="1:4">
      <c r="A819" s="52"/>
      <c r="B819" s="60" t="s">
        <v>9</v>
      </c>
      <c r="C819" s="3" t="s">
        <v>12</v>
      </c>
      <c r="D819" s="11">
        <f>D798+D801+D804+D807+D810+D813+D816</f>
        <v>37069913.700000003</v>
      </c>
    </row>
    <row r="820" spans="1:4">
      <c r="A820" s="52"/>
      <c r="B820" s="61"/>
      <c r="C820" s="1" t="s">
        <v>13</v>
      </c>
      <c r="D820" s="14">
        <f>D799+D802+D805+D808+D811+D814+D817</f>
        <v>38040460.589999996</v>
      </c>
    </row>
    <row r="821" spans="1:4" ht="15.75" thickBot="1">
      <c r="A821" s="53"/>
      <c r="B821" s="62"/>
      <c r="C821" s="2" t="s">
        <v>16</v>
      </c>
      <c r="D821" s="46">
        <f>D820/D819</f>
        <v>1.026181525477897</v>
      </c>
    </row>
    <row r="822" spans="1:4" ht="15.75" thickBot="1"/>
    <row r="823" spans="1:4" ht="15.75" thickBot="1">
      <c r="A823" s="4" t="s">
        <v>0</v>
      </c>
      <c r="B823" s="7" t="s">
        <v>10</v>
      </c>
      <c r="C823" s="5" t="s">
        <v>1</v>
      </c>
      <c r="D823" s="6" t="s">
        <v>11</v>
      </c>
    </row>
    <row r="824" spans="1:4">
      <c r="A824" s="66" t="s">
        <v>54</v>
      </c>
      <c r="B824" s="54" t="s">
        <v>2</v>
      </c>
      <c r="C824" s="3" t="s">
        <v>12</v>
      </c>
      <c r="D824" s="11">
        <f>504012660+4152575+756600</f>
        <v>508921835</v>
      </c>
    </row>
    <row r="825" spans="1:4">
      <c r="A825" s="67"/>
      <c r="B825" s="55"/>
      <c r="C825" s="1" t="s">
        <v>13</v>
      </c>
      <c r="D825" s="12">
        <v>519423702</v>
      </c>
    </row>
    <row r="826" spans="1:4" ht="15.75" thickBot="1">
      <c r="A826" s="67"/>
      <c r="B826" s="56"/>
      <c r="C826" s="2" t="s">
        <v>14</v>
      </c>
      <c r="D826" s="46">
        <f>D825/D824</f>
        <v>1.0206355205804836</v>
      </c>
    </row>
    <row r="827" spans="1:4">
      <c r="A827" s="67"/>
      <c r="B827" s="54" t="s">
        <v>3</v>
      </c>
      <c r="C827" s="3" t="s">
        <v>12</v>
      </c>
      <c r="D827" s="11">
        <f>95823900+1029554+205350</f>
        <v>97058804</v>
      </c>
    </row>
    <row r="828" spans="1:4">
      <c r="A828" s="67"/>
      <c r="B828" s="55"/>
      <c r="C828" s="1" t="s">
        <v>13</v>
      </c>
      <c r="D828" s="12">
        <v>110076780</v>
      </c>
    </row>
    <row r="829" spans="1:4" ht="15.75" thickBot="1">
      <c r="A829" s="67"/>
      <c r="B829" s="56"/>
      <c r="C829" s="2" t="s">
        <v>14</v>
      </c>
      <c r="D829" s="37">
        <f>D828/D827</f>
        <v>1.1341246281996222</v>
      </c>
    </row>
    <row r="830" spans="1:4">
      <c r="A830" s="67"/>
      <c r="B830" s="54" t="s">
        <v>4</v>
      </c>
      <c r="C830" s="3" t="s">
        <v>12</v>
      </c>
      <c r="D830" s="11">
        <f>26472000+224125+36720</f>
        <v>26732845</v>
      </c>
    </row>
    <row r="831" spans="1:4">
      <c r="A831" s="67"/>
      <c r="B831" s="55"/>
      <c r="C831" s="1" t="s">
        <v>13</v>
      </c>
      <c r="D831" s="12">
        <v>26992593</v>
      </c>
    </row>
    <row r="832" spans="1:4" ht="15.75" thickBot="1">
      <c r="A832" s="67"/>
      <c r="B832" s="56"/>
      <c r="C832" s="2" t="s">
        <v>14</v>
      </c>
      <c r="D832" s="46">
        <f>D831/D830</f>
        <v>1.0097164368401492</v>
      </c>
    </row>
    <row r="833" spans="1:4">
      <c r="A833" s="67"/>
      <c r="B833" s="54" t="s">
        <v>5</v>
      </c>
      <c r="C833" s="3" t="s">
        <v>12</v>
      </c>
      <c r="D833" s="13">
        <f>26146050+209025+50100</f>
        <v>26405175</v>
      </c>
    </row>
    <row r="834" spans="1:4">
      <c r="A834" s="67"/>
      <c r="B834" s="55"/>
      <c r="C834" s="1" t="s">
        <v>13</v>
      </c>
      <c r="D834" s="40">
        <f>28374447+33030</f>
        <v>28407477</v>
      </c>
    </row>
    <row r="835" spans="1:4" ht="15.75" thickBot="1">
      <c r="A835" s="67"/>
      <c r="B835" s="56"/>
      <c r="C835" s="2" t="s">
        <v>14</v>
      </c>
      <c r="D835" s="37">
        <f>D834/D833</f>
        <v>1.0758299083418308</v>
      </c>
    </row>
    <row r="836" spans="1:4">
      <c r="A836" s="67"/>
      <c r="B836" s="54" t="s">
        <v>6</v>
      </c>
      <c r="C836" s="3" t="s">
        <v>12</v>
      </c>
      <c r="D836" s="13">
        <f>97603527+979100+186000</f>
        <v>98768627</v>
      </c>
    </row>
    <row r="837" spans="1:4">
      <c r="A837" s="67"/>
      <c r="B837" s="55"/>
      <c r="C837" s="1" t="s">
        <v>13</v>
      </c>
      <c r="D837" s="14">
        <f>109370556+122130</f>
        <v>109492686</v>
      </c>
    </row>
    <row r="838" spans="1:4" ht="15.75" thickBot="1">
      <c r="A838" s="67"/>
      <c r="B838" s="55"/>
      <c r="C838" s="26" t="s">
        <v>14</v>
      </c>
      <c r="D838" s="39">
        <f>D837/D836</f>
        <v>1.1085775850665616</v>
      </c>
    </row>
    <row r="839" spans="1:4">
      <c r="A839" s="67"/>
      <c r="B839" s="69" t="s">
        <v>7</v>
      </c>
      <c r="C839" s="28" t="s">
        <v>12</v>
      </c>
      <c r="D839" s="34"/>
    </row>
    <row r="840" spans="1:4">
      <c r="A840" s="67"/>
      <c r="B840" s="70"/>
      <c r="C840" s="1" t="s">
        <v>13</v>
      </c>
      <c r="D840" s="35"/>
    </row>
    <row r="841" spans="1:4" ht="15.75" thickBot="1">
      <c r="A841" s="67"/>
      <c r="B841" s="71"/>
      <c r="C841" s="2" t="s">
        <v>14</v>
      </c>
      <c r="D841" s="10"/>
    </row>
    <row r="842" spans="1:4">
      <c r="A842" s="67"/>
      <c r="B842" s="72" t="s">
        <v>8</v>
      </c>
      <c r="C842" s="28" t="s">
        <v>12</v>
      </c>
      <c r="D842" s="34"/>
    </row>
    <row r="843" spans="1:4">
      <c r="A843" s="67"/>
      <c r="B843" s="73"/>
      <c r="C843" s="1" t="s">
        <v>13</v>
      </c>
      <c r="D843" s="35"/>
    </row>
    <row r="844" spans="1:4" ht="15.75" thickBot="1">
      <c r="A844" s="67"/>
      <c r="B844" s="74"/>
      <c r="C844" s="2" t="s">
        <v>14</v>
      </c>
      <c r="D844" s="10"/>
    </row>
    <row r="845" spans="1:4">
      <c r="A845" s="67"/>
      <c r="B845" s="58" t="s">
        <v>9</v>
      </c>
      <c r="C845" s="3" t="s">
        <v>12</v>
      </c>
      <c r="D845" s="11">
        <f>D824+D827+D830+D833+D836+D839+D842</f>
        <v>757887286</v>
      </c>
    </row>
    <row r="846" spans="1:4">
      <c r="A846" s="67"/>
      <c r="B846" s="58"/>
      <c r="C846" s="1" t="s">
        <v>13</v>
      </c>
      <c r="D846" s="14">
        <f>D825+D828+D831+D834+D837+D840+D843</f>
        <v>794393238</v>
      </c>
    </row>
    <row r="847" spans="1:4" ht="15.75" thickBot="1">
      <c r="A847" s="68"/>
      <c r="B847" s="59"/>
      <c r="C847" s="2" t="s">
        <v>14</v>
      </c>
      <c r="D847" s="10">
        <f>D846/D845</f>
        <v>1.0481680490943082</v>
      </c>
    </row>
    <row r="848" spans="1:4" ht="15.75" thickBot="1"/>
    <row r="849" spans="1:4" ht="15.75" thickBot="1">
      <c r="A849" s="4" t="s">
        <v>0</v>
      </c>
      <c r="B849" s="7" t="s">
        <v>10</v>
      </c>
      <c r="C849" s="5" t="s">
        <v>1</v>
      </c>
      <c r="D849" s="6" t="s">
        <v>11</v>
      </c>
    </row>
    <row r="850" spans="1:4">
      <c r="A850" s="63" t="s">
        <v>55</v>
      </c>
      <c r="B850" s="54" t="s">
        <v>2</v>
      </c>
      <c r="C850" s="3" t="s">
        <v>12</v>
      </c>
      <c r="D850" s="11">
        <f>150923120+3*826467+30*21767</f>
        <v>154055531</v>
      </c>
    </row>
    <row r="851" spans="1:4">
      <c r="A851" s="64"/>
      <c r="B851" s="55"/>
      <c r="C851" s="1" t="s">
        <v>13</v>
      </c>
      <c r="D851" s="12">
        <v>155911420</v>
      </c>
    </row>
    <row r="852" spans="1:4" ht="15.75" thickBot="1">
      <c r="A852" s="64"/>
      <c r="B852" s="56"/>
      <c r="C852" s="2" t="s">
        <v>14</v>
      </c>
      <c r="D852" s="46">
        <f>D851/D850</f>
        <v>1.0120468832761351</v>
      </c>
    </row>
    <row r="853" spans="1:4">
      <c r="A853" s="64"/>
      <c r="B853" s="54" t="s">
        <v>3</v>
      </c>
      <c r="C853" s="3" t="s">
        <v>12</v>
      </c>
      <c r="D853" s="11">
        <f>16500000+3*103250+30*3247</f>
        <v>16907160</v>
      </c>
    </row>
    <row r="854" spans="1:4">
      <c r="A854" s="64"/>
      <c r="B854" s="55"/>
      <c r="C854" s="1" t="s">
        <v>13</v>
      </c>
      <c r="D854" s="12">
        <f>72240000/4</f>
        <v>18060000</v>
      </c>
    </row>
    <row r="855" spans="1:4" ht="15.75" thickBot="1">
      <c r="A855" s="64"/>
      <c r="B855" s="56"/>
      <c r="C855" s="2" t="s">
        <v>14</v>
      </c>
      <c r="D855" s="37">
        <f>D854/D853</f>
        <v>1.0681864961353651</v>
      </c>
    </row>
    <row r="856" spans="1:4">
      <c r="A856" s="64"/>
      <c r="B856" s="54" t="s">
        <v>4</v>
      </c>
      <c r="C856" s="3" t="s">
        <v>12</v>
      </c>
      <c r="D856" s="11">
        <f>10434000+3*60516+30*1283</f>
        <v>10654038</v>
      </c>
    </row>
    <row r="857" spans="1:4">
      <c r="A857" s="64"/>
      <c r="B857" s="55"/>
      <c r="C857" s="1" t="s">
        <v>13</v>
      </c>
      <c r="D857" s="12">
        <v>10934697</v>
      </c>
    </row>
    <row r="858" spans="1:4" ht="15.75" thickBot="1">
      <c r="A858" s="64"/>
      <c r="B858" s="56"/>
      <c r="C858" s="2" t="s">
        <v>14</v>
      </c>
      <c r="D858" s="46">
        <f>D857/D856</f>
        <v>1.0263429696796651</v>
      </c>
    </row>
    <row r="859" spans="1:4">
      <c r="A859" s="64"/>
      <c r="B859" s="54" t="s">
        <v>5</v>
      </c>
      <c r="C859" s="3" t="s">
        <v>12</v>
      </c>
      <c r="D859" s="13">
        <f>4667829+3*25900+30*898</f>
        <v>4772469</v>
      </c>
    </row>
    <row r="860" spans="1:4">
      <c r="A860" s="64"/>
      <c r="B860" s="55"/>
      <c r="C860" s="1" t="s">
        <v>13</v>
      </c>
      <c r="D860" s="14">
        <v>4897104</v>
      </c>
    </row>
    <row r="861" spans="1:4" ht="15.75" thickBot="1">
      <c r="A861" s="64"/>
      <c r="B861" s="56"/>
      <c r="C861" s="2" t="s">
        <v>14</v>
      </c>
      <c r="D861" s="46">
        <f>D860/D859</f>
        <v>1.0261154132169323</v>
      </c>
    </row>
    <row r="862" spans="1:4">
      <c r="A862" s="64"/>
      <c r="B862" s="54" t="s">
        <v>6</v>
      </c>
      <c r="C862" s="3" t="s">
        <v>12</v>
      </c>
      <c r="D862" s="13">
        <f>9471498+3*51917+30*1661</f>
        <v>9677079</v>
      </c>
    </row>
    <row r="863" spans="1:4">
      <c r="A863" s="64"/>
      <c r="B863" s="55"/>
      <c r="C863" s="1" t="s">
        <v>13</v>
      </c>
      <c r="D863" s="14">
        <v>10321934</v>
      </c>
    </row>
    <row r="864" spans="1:4" ht="15.75" thickBot="1">
      <c r="A864" s="64"/>
      <c r="B864" s="56"/>
      <c r="C864" s="2" t="s">
        <v>14</v>
      </c>
      <c r="D864" s="37">
        <f>D863/D862</f>
        <v>1.0666373603026285</v>
      </c>
    </row>
    <row r="865" spans="1:4">
      <c r="A865" s="64"/>
      <c r="B865" s="54" t="s">
        <v>7</v>
      </c>
      <c r="C865" s="3" t="s">
        <v>12</v>
      </c>
      <c r="D865" s="13"/>
    </row>
    <row r="866" spans="1:4">
      <c r="A866" s="64"/>
      <c r="B866" s="55"/>
      <c r="C866" s="1" t="s">
        <v>13</v>
      </c>
      <c r="D866" s="14"/>
    </row>
    <row r="867" spans="1:4" ht="15.75" thickBot="1">
      <c r="A867" s="64"/>
      <c r="B867" s="56"/>
      <c r="C867" s="2" t="s">
        <v>14</v>
      </c>
      <c r="D867" s="10" t="e">
        <f>D866/D865</f>
        <v>#DIV/0!</v>
      </c>
    </row>
    <row r="868" spans="1:4">
      <c r="A868" s="64"/>
      <c r="B868" s="54" t="s">
        <v>8</v>
      </c>
      <c r="C868" s="3" t="s">
        <v>12</v>
      </c>
      <c r="D868" s="13">
        <f>7650000+3*57841+30*1096</f>
        <v>7856403</v>
      </c>
    </row>
    <row r="869" spans="1:4">
      <c r="A869" s="64"/>
      <c r="B869" s="55"/>
      <c r="C869" s="1" t="s">
        <v>13</v>
      </c>
      <c r="D869" s="14">
        <v>7988212</v>
      </c>
    </row>
    <row r="870" spans="1:4" ht="15.75" thickBot="1">
      <c r="A870" s="64"/>
      <c r="B870" s="56"/>
      <c r="C870" s="2" t="s">
        <v>14</v>
      </c>
      <c r="D870" s="46">
        <f>D869/D868</f>
        <v>1.0167772707179099</v>
      </c>
    </row>
    <row r="871" spans="1:4">
      <c r="A871" s="64"/>
      <c r="B871" s="57" t="s">
        <v>9</v>
      </c>
      <c r="C871" s="3" t="s">
        <v>12</v>
      </c>
      <c r="D871" s="11">
        <f>D850+D853+D856+D859+D862+D865+D868</f>
        <v>203922680</v>
      </c>
    </row>
    <row r="872" spans="1:4">
      <c r="A872" s="64"/>
      <c r="B872" s="58"/>
      <c r="C872" s="1" t="s">
        <v>13</v>
      </c>
      <c r="D872" s="14">
        <f>D851+D854+D857+D860+D863+D866+D869</f>
        <v>208113367</v>
      </c>
    </row>
    <row r="873" spans="1:4" ht="15.75" thickBot="1">
      <c r="A873" s="65"/>
      <c r="B873" s="59"/>
      <c r="C873" s="2" t="s">
        <v>14</v>
      </c>
      <c r="D873" s="46">
        <f>D872/D871</f>
        <v>1.0205503723273939</v>
      </c>
    </row>
    <row r="874" spans="1:4" ht="15.75" thickBot="1"/>
    <row r="875" spans="1:4" ht="15.75" thickBot="1">
      <c r="A875" s="16" t="s">
        <v>0</v>
      </c>
      <c r="B875" s="17" t="s">
        <v>10</v>
      </c>
      <c r="C875" s="18" t="s">
        <v>1</v>
      </c>
      <c r="D875" s="6" t="s">
        <v>15</v>
      </c>
    </row>
    <row r="876" spans="1:4">
      <c r="A876" s="51" t="s">
        <v>56</v>
      </c>
      <c r="B876" s="54" t="s">
        <v>2</v>
      </c>
      <c r="C876" s="3" t="s">
        <v>12</v>
      </c>
      <c r="D876" s="11">
        <f>3201927*3+1782*100+1656*30</f>
        <v>9833661</v>
      </c>
    </row>
    <row r="877" spans="1:4">
      <c r="A877" s="52"/>
      <c r="B877" s="55"/>
      <c r="C877" s="1" t="s">
        <v>13</v>
      </c>
      <c r="D877" s="12">
        <f>3324056*3</f>
        <v>9972168</v>
      </c>
    </row>
    <row r="878" spans="1:4" ht="15.75" thickBot="1">
      <c r="A878" s="52"/>
      <c r="B878" s="56"/>
      <c r="C878" s="2" t="s">
        <v>16</v>
      </c>
      <c r="D878" s="46">
        <f>D877/D876</f>
        <v>1.0140849882866616</v>
      </c>
    </row>
    <row r="879" spans="1:4">
      <c r="A879" s="52"/>
      <c r="B879" s="54" t="s">
        <v>3</v>
      </c>
      <c r="C879" s="3" t="s">
        <v>12</v>
      </c>
      <c r="D879" s="11">
        <f>548800*3+388*100+525*30</f>
        <v>1700950</v>
      </c>
    </row>
    <row r="880" spans="1:4">
      <c r="A880" s="52"/>
      <c r="B880" s="55"/>
      <c r="C880" s="1" t="s">
        <v>13</v>
      </c>
      <c r="D880" s="12">
        <f>634650*3</f>
        <v>1903950</v>
      </c>
    </row>
    <row r="881" spans="1:4" ht="15.75" thickBot="1">
      <c r="A881" s="52"/>
      <c r="B881" s="56"/>
      <c r="C881" s="2" t="s">
        <v>16</v>
      </c>
      <c r="D881" s="37">
        <f>D880/D879</f>
        <v>1.1193450718716011</v>
      </c>
    </row>
    <row r="882" spans="1:4">
      <c r="A882" s="52"/>
      <c r="B882" s="54" t="s">
        <v>4</v>
      </c>
      <c r="C882" s="3" t="s">
        <v>12</v>
      </c>
      <c r="D882" s="11">
        <f>4687000*3+2359*100+3632*30</f>
        <v>14405860</v>
      </c>
    </row>
    <row r="883" spans="1:4">
      <c r="A883" s="52"/>
      <c r="B883" s="55"/>
      <c r="C883" s="1" t="s">
        <v>13</v>
      </c>
      <c r="D883" s="12">
        <f>4490497*3</f>
        <v>13471491</v>
      </c>
    </row>
    <row r="884" spans="1:4" ht="15.75" thickBot="1">
      <c r="A884" s="52"/>
      <c r="B884" s="56"/>
      <c r="C884" s="2" t="s">
        <v>16</v>
      </c>
      <c r="D884" s="46">
        <f>D883/D882</f>
        <v>0.9351396584445496</v>
      </c>
    </row>
    <row r="885" spans="1:4">
      <c r="A885" s="52"/>
      <c r="B885" s="54" t="s">
        <v>5</v>
      </c>
      <c r="C885" s="3" t="s">
        <v>12</v>
      </c>
      <c r="D885" s="13">
        <f>50829*3+31*100+39*30</f>
        <v>156757</v>
      </c>
    </row>
    <row r="886" spans="1:4">
      <c r="A886" s="52"/>
      <c r="B886" s="55"/>
      <c r="C886" s="1" t="s">
        <v>13</v>
      </c>
      <c r="D886" s="14">
        <f>56752*3+570+810+1140</f>
        <v>172776</v>
      </c>
    </row>
    <row r="887" spans="1:4" ht="15.75" thickBot="1">
      <c r="A887" s="52"/>
      <c r="B887" s="56"/>
      <c r="C887" s="2" t="s">
        <v>16</v>
      </c>
      <c r="D887" s="37">
        <f>D886/D885</f>
        <v>1.102190013843082</v>
      </c>
    </row>
    <row r="888" spans="1:4">
      <c r="A888" s="52"/>
      <c r="B888" s="54" t="s">
        <v>6</v>
      </c>
      <c r="C888" s="3" t="s">
        <v>12</v>
      </c>
      <c r="D888" s="13">
        <f>62878*3+17*100+46*30</f>
        <v>191714</v>
      </c>
    </row>
    <row r="889" spans="1:4">
      <c r="A889" s="52"/>
      <c r="B889" s="55"/>
      <c r="C889" s="1" t="s">
        <v>13</v>
      </c>
      <c r="D889" s="14">
        <f>63640*3+660+300+540</f>
        <v>192420</v>
      </c>
    </row>
    <row r="890" spans="1:4" ht="15.75" thickBot="1">
      <c r="A890" s="52"/>
      <c r="B890" s="56"/>
      <c r="C890" s="2" t="s">
        <v>16</v>
      </c>
      <c r="D890" s="46">
        <f>D889/D888</f>
        <v>1.0036825688264812</v>
      </c>
    </row>
    <row r="891" spans="1:4">
      <c r="A891" s="52"/>
      <c r="B891" s="54" t="s">
        <v>7</v>
      </c>
      <c r="C891" s="3" t="s">
        <v>12</v>
      </c>
      <c r="D891" s="13">
        <f>1931000*3+1242*100+1223*30</f>
        <v>5953890</v>
      </c>
    </row>
    <row r="892" spans="1:4">
      <c r="A892" s="52"/>
      <c r="B892" s="55"/>
      <c r="C892" s="1" t="s">
        <v>13</v>
      </c>
      <c r="D892" s="14">
        <f>2040000*3</f>
        <v>6120000</v>
      </c>
    </row>
    <row r="893" spans="1:4" ht="15.75" thickBot="1">
      <c r="A893" s="52"/>
      <c r="B893" s="56"/>
      <c r="C893" s="2" t="s">
        <v>16</v>
      </c>
      <c r="D893" s="46">
        <f>D892/D891</f>
        <v>1.0278994069423519</v>
      </c>
    </row>
    <row r="894" spans="1:4">
      <c r="A894" s="52"/>
      <c r="B894" s="54" t="s">
        <v>8</v>
      </c>
      <c r="C894" s="3" t="s">
        <v>12</v>
      </c>
      <c r="D894" s="13">
        <v>0</v>
      </c>
    </row>
    <row r="895" spans="1:4">
      <c r="A895" s="52"/>
      <c r="B895" s="55"/>
      <c r="C895" s="1" t="s">
        <v>13</v>
      </c>
      <c r="D895" s="14">
        <v>0</v>
      </c>
    </row>
    <row r="896" spans="1:4" ht="15.75" thickBot="1">
      <c r="A896" s="52"/>
      <c r="B896" s="56"/>
      <c r="C896" s="2" t="s">
        <v>16</v>
      </c>
      <c r="D896" s="10">
        <v>0</v>
      </c>
    </row>
    <row r="897" spans="1:4">
      <c r="A897" s="52"/>
      <c r="B897" s="60" t="s">
        <v>9</v>
      </c>
      <c r="C897" s="3" t="s">
        <v>12</v>
      </c>
      <c r="D897" s="11">
        <f>D876+D879+D882+D885+D888+D891+D894</f>
        <v>32242832</v>
      </c>
    </row>
    <row r="898" spans="1:4">
      <c r="A898" s="52"/>
      <c r="B898" s="61"/>
      <c r="C898" s="1" t="s">
        <v>13</v>
      </c>
      <c r="D898" s="14">
        <f>D877+D880+D883+D886+D889+D892+D895</f>
        <v>31832805</v>
      </c>
    </row>
    <row r="899" spans="1:4" ht="15.75" thickBot="1">
      <c r="A899" s="53"/>
      <c r="B899" s="62"/>
      <c r="C899" s="2" t="s">
        <v>16</v>
      </c>
      <c r="D899" s="46">
        <f>D898/D897</f>
        <v>0.9872831580054755</v>
      </c>
    </row>
    <row r="900" spans="1:4" ht="15.75" thickBot="1"/>
    <row r="901" spans="1:4" ht="15.75" thickBot="1">
      <c r="A901" s="16" t="s">
        <v>0</v>
      </c>
      <c r="B901" s="17" t="s">
        <v>10</v>
      </c>
      <c r="C901" s="18" t="s">
        <v>1</v>
      </c>
      <c r="D901" s="6" t="s">
        <v>15</v>
      </c>
    </row>
    <row r="902" spans="1:4">
      <c r="A902" s="51" t="s">
        <v>57</v>
      </c>
      <c r="B902" s="54" t="s">
        <v>2</v>
      </c>
      <c r="C902" s="3" t="s">
        <v>12</v>
      </c>
      <c r="D902" s="36">
        <v>33773274</v>
      </c>
    </row>
    <row r="903" spans="1:4">
      <c r="A903" s="52"/>
      <c r="B903" s="55"/>
      <c r="C903" s="1" t="s">
        <v>13</v>
      </c>
      <c r="D903" s="12">
        <v>34585047</v>
      </c>
    </row>
    <row r="904" spans="1:4" ht="15.75" thickBot="1">
      <c r="A904" s="52"/>
      <c r="B904" s="56"/>
      <c r="C904" s="2" t="s">
        <v>16</v>
      </c>
      <c r="D904" s="46">
        <f>D903/D902</f>
        <v>1.0240359581366023</v>
      </c>
    </row>
    <row r="905" spans="1:4">
      <c r="A905" s="52"/>
      <c r="B905" s="54" t="s">
        <v>3</v>
      </c>
      <c r="C905" s="3" t="s">
        <v>12</v>
      </c>
      <c r="D905" s="11">
        <v>4769214.99</v>
      </c>
    </row>
    <row r="906" spans="1:4">
      <c r="A906" s="52"/>
      <c r="B906" s="55"/>
      <c r="C906" s="1" t="s">
        <v>13</v>
      </c>
      <c r="D906" s="12">
        <v>5376060</v>
      </c>
    </row>
    <row r="907" spans="1:4" ht="15.75" thickBot="1">
      <c r="A907" s="52"/>
      <c r="B907" s="56"/>
      <c r="C907" s="2" t="s">
        <v>16</v>
      </c>
      <c r="D907" s="37">
        <f>D906/D905</f>
        <v>1.1272421166318609</v>
      </c>
    </row>
    <row r="908" spans="1:4">
      <c r="A908" s="52"/>
      <c r="B908" s="54" t="s">
        <v>4</v>
      </c>
      <c r="C908" s="3" t="s">
        <v>12</v>
      </c>
      <c r="D908" s="11">
        <v>3720948</v>
      </c>
    </row>
    <row r="909" spans="1:4">
      <c r="A909" s="52"/>
      <c r="B909" s="55"/>
      <c r="C909" s="1" t="s">
        <v>13</v>
      </c>
      <c r="D909" s="12">
        <v>3898998</v>
      </c>
    </row>
    <row r="910" spans="1:4" ht="15.75" thickBot="1">
      <c r="A910" s="52"/>
      <c r="B910" s="56"/>
      <c r="C910" s="2" t="s">
        <v>16</v>
      </c>
      <c r="D910" s="10">
        <f>D909/D908</f>
        <v>1.0478507090128644</v>
      </c>
    </row>
    <row r="911" spans="1:4">
      <c r="A911" s="52"/>
      <c r="B911" s="54" t="s">
        <v>5</v>
      </c>
      <c r="C911" s="3" t="s">
        <v>12</v>
      </c>
      <c r="D911" s="13">
        <v>1983441</v>
      </c>
    </row>
    <row r="912" spans="1:4">
      <c r="A912" s="52"/>
      <c r="B912" s="55"/>
      <c r="C912" s="1" t="s">
        <v>13</v>
      </c>
      <c r="D912" s="14">
        <v>2054148</v>
      </c>
    </row>
    <row r="913" spans="1:4" ht="15.75" thickBot="1">
      <c r="A913" s="52"/>
      <c r="B913" s="56"/>
      <c r="C913" s="2" t="s">
        <v>16</v>
      </c>
      <c r="D913" s="10">
        <f>D912/D911</f>
        <v>1.0356486530227014</v>
      </c>
    </row>
    <row r="914" spans="1:4">
      <c r="A914" s="52"/>
      <c r="B914" s="54" t="s">
        <v>6</v>
      </c>
      <c r="C914" s="3" t="s">
        <v>12</v>
      </c>
      <c r="D914" s="13">
        <v>1959831</v>
      </c>
    </row>
    <row r="915" spans="1:4">
      <c r="A915" s="52"/>
      <c r="B915" s="55"/>
      <c r="C915" s="1" t="s">
        <v>13</v>
      </c>
      <c r="D915" s="14">
        <v>2078823</v>
      </c>
    </row>
    <row r="916" spans="1:4" ht="15.75" thickBot="1">
      <c r="A916" s="52"/>
      <c r="B916" s="56"/>
      <c r="C916" s="2" t="s">
        <v>16</v>
      </c>
      <c r="D916" s="37">
        <f>D915/D914</f>
        <v>1.0607154392394038</v>
      </c>
    </row>
    <row r="917" spans="1:4">
      <c r="A917" s="52"/>
      <c r="B917" s="54" t="s">
        <v>7</v>
      </c>
      <c r="C917" s="3" t="s">
        <v>12</v>
      </c>
      <c r="D917" s="13"/>
    </row>
    <row r="918" spans="1:4">
      <c r="A918" s="52"/>
      <c r="B918" s="55"/>
      <c r="C918" s="1" t="s">
        <v>13</v>
      </c>
      <c r="D918" s="14"/>
    </row>
    <row r="919" spans="1:4" ht="15.75" thickBot="1">
      <c r="A919" s="52"/>
      <c r="B919" s="56"/>
      <c r="C919" s="2" t="s">
        <v>16</v>
      </c>
      <c r="D919" s="10"/>
    </row>
    <row r="920" spans="1:4">
      <c r="A920" s="52"/>
      <c r="B920" s="54" t="s">
        <v>8</v>
      </c>
      <c r="C920" s="3" t="s">
        <v>12</v>
      </c>
      <c r="D920" s="13">
        <v>2366790</v>
      </c>
    </row>
    <row r="921" spans="1:4">
      <c r="A921" s="52"/>
      <c r="B921" s="55"/>
      <c r="C921" s="1" t="s">
        <v>13</v>
      </c>
      <c r="D921" s="14">
        <v>2388480</v>
      </c>
    </row>
    <row r="922" spans="1:4" ht="15.75" thickBot="1">
      <c r="A922" s="52"/>
      <c r="B922" s="56"/>
      <c r="C922" s="2" t="s">
        <v>16</v>
      </c>
      <c r="D922" s="46">
        <f>D921/D920</f>
        <v>1.0091643111556159</v>
      </c>
    </row>
    <row r="923" spans="1:4">
      <c r="A923" s="52"/>
      <c r="B923" s="60" t="s">
        <v>9</v>
      </c>
      <c r="C923" s="3" t="s">
        <v>12</v>
      </c>
      <c r="D923" s="11">
        <f>D902+D905+D908+D911+D914+D917+D920</f>
        <v>48573498.990000002</v>
      </c>
    </row>
    <row r="924" spans="1:4">
      <c r="A924" s="52"/>
      <c r="B924" s="61"/>
      <c r="C924" s="1" t="s">
        <v>13</v>
      </c>
      <c r="D924" s="14">
        <f>D903+D906+D909+D912+D915+D918+D921</f>
        <v>50381556</v>
      </c>
    </row>
    <row r="925" spans="1:4" ht="15.75" thickBot="1">
      <c r="A925" s="53"/>
      <c r="B925" s="62"/>
      <c r="C925" s="2" t="s">
        <v>16</v>
      </c>
      <c r="D925" s="10">
        <f>D924/D923</f>
        <v>1.0372231164646433</v>
      </c>
    </row>
    <row r="926" spans="1:4" ht="15.75" thickBot="1"/>
    <row r="927" spans="1:4" ht="15.75" thickBot="1">
      <c r="A927" s="4" t="s">
        <v>0</v>
      </c>
      <c r="B927" s="7" t="s">
        <v>10</v>
      </c>
      <c r="C927" s="5" t="s">
        <v>1</v>
      </c>
      <c r="D927" s="6" t="s">
        <v>11</v>
      </c>
    </row>
    <row r="928" spans="1:4">
      <c r="A928" s="51" t="s">
        <v>58</v>
      </c>
      <c r="B928" s="54" t="s">
        <v>2</v>
      </c>
      <c r="C928" s="3" t="s">
        <v>12</v>
      </c>
      <c r="D928" s="11">
        <v>24109358</v>
      </c>
    </row>
    <row r="929" spans="1:4">
      <c r="A929" s="52"/>
      <c r="B929" s="55"/>
      <c r="C929" s="1" t="s">
        <v>13</v>
      </c>
      <c r="D929" s="12">
        <v>24299412</v>
      </c>
    </row>
    <row r="930" spans="1:4" ht="15.75" thickBot="1">
      <c r="A930" s="52"/>
      <c r="B930" s="56"/>
      <c r="C930" s="2" t="s">
        <v>14</v>
      </c>
      <c r="D930" s="46">
        <f>D929/D928</f>
        <v>1.0078829971333123</v>
      </c>
    </row>
    <row r="931" spans="1:4">
      <c r="A931" s="52"/>
      <c r="B931" s="54" t="s">
        <v>3</v>
      </c>
      <c r="C931" s="3" t="s">
        <v>12</v>
      </c>
      <c r="D931" s="11">
        <v>1265245</v>
      </c>
    </row>
    <row r="932" spans="1:4">
      <c r="A932" s="52"/>
      <c r="B932" s="55"/>
      <c r="C932" s="1" t="s">
        <v>13</v>
      </c>
      <c r="D932" s="12">
        <v>1331010</v>
      </c>
    </row>
    <row r="933" spans="1:4" ht="15.75" thickBot="1">
      <c r="A933" s="52"/>
      <c r="B933" s="56"/>
      <c r="C933" s="2" t="s">
        <v>14</v>
      </c>
      <c r="D933" s="37">
        <f>D932/D931</f>
        <v>1.051978075392513</v>
      </c>
    </row>
    <row r="934" spans="1:4">
      <c r="A934" s="52"/>
      <c r="B934" s="54" t="s">
        <v>4</v>
      </c>
      <c r="C934" s="3" t="s">
        <v>12</v>
      </c>
      <c r="D934" s="11">
        <v>562950</v>
      </c>
    </row>
    <row r="935" spans="1:4">
      <c r="A935" s="52"/>
      <c r="B935" s="55"/>
      <c r="C935" s="1" t="s">
        <v>13</v>
      </c>
      <c r="D935" s="12">
        <v>470367</v>
      </c>
    </row>
    <row r="936" spans="1:4" ht="15.75" thickBot="1">
      <c r="A936" s="52"/>
      <c r="B936" s="56"/>
      <c r="C936" s="2" t="s">
        <v>14</v>
      </c>
      <c r="D936" s="46">
        <f>D935/D934</f>
        <v>0.83553956834532372</v>
      </c>
    </row>
    <row r="937" spans="1:4">
      <c r="A937" s="52"/>
      <c r="B937" s="54" t="s">
        <v>5</v>
      </c>
      <c r="C937" s="3" t="s">
        <v>12</v>
      </c>
      <c r="D937" s="13">
        <v>758344</v>
      </c>
    </row>
    <row r="938" spans="1:4">
      <c r="A938" s="52"/>
      <c r="B938" s="55"/>
      <c r="C938" s="1" t="s">
        <v>13</v>
      </c>
      <c r="D938" s="14">
        <v>886227</v>
      </c>
    </row>
    <row r="939" spans="1:4" ht="15.75" thickBot="1">
      <c r="A939" s="52"/>
      <c r="B939" s="56"/>
      <c r="C939" s="2" t="s">
        <v>14</v>
      </c>
      <c r="D939" s="37">
        <f>D938/D937</f>
        <v>1.1686345510744465</v>
      </c>
    </row>
    <row r="940" spans="1:4">
      <c r="A940" s="52"/>
      <c r="B940" s="54" t="s">
        <v>6</v>
      </c>
      <c r="C940" s="3" t="s">
        <v>12</v>
      </c>
      <c r="D940" s="13">
        <v>2108367</v>
      </c>
    </row>
    <row r="941" spans="1:4">
      <c r="A941" s="52"/>
      <c r="B941" s="55"/>
      <c r="C941" s="1" t="s">
        <v>13</v>
      </c>
      <c r="D941" s="14">
        <v>2195880</v>
      </c>
    </row>
    <row r="942" spans="1:4" ht="15.75" thickBot="1">
      <c r="A942" s="52"/>
      <c r="B942" s="56"/>
      <c r="C942" s="2" t="s">
        <v>14</v>
      </c>
      <c r="D942" s="10">
        <f>D941/D940</f>
        <v>1.0415074794853079</v>
      </c>
    </row>
    <row r="943" spans="1:4">
      <c r="A943" s="52"/>
      <c r="B943" s="54" t="s">
        <v>7</v>
      </c>
      <c r="C943" s="3" t="s">
        <v>12</v>
      </c>
      <c r="D943" s="13"/>
    </row>
    <row r="944" spans="1:4">
      <c r="A944" s="52"/>
      <c r="B944" s="55"/>
      <c r="C944" s="1" t="s">
        <v>13</v>
      </c>
      <c r="D944" s="14"/>
    </row>
    <row r="945" spans="1:4" ht="15.75" thickBot="1">
      <c r="A945" s="52"/>
      <c r="B945" s="56"/>
      <c r="C945" s="2" t="s">
        <v>14</v>
      </c>
      <c r="D945" s="10" t="e">
        <f>D944/D943</f>
        <v>#DIV/0!</v>
      </c>
    </row>
    <row r="946" spans="1:4">
      <c r="A946" s="52"/>
      <c r="B946" s="54" t="s">
        <v>8</v>
      </c>
      <c r="C946" s="3" t="s">
        <v>12</v>
      </c>
      <c r="D946" s="13"/>
    </row>
    <row r="947" spans="1:4">
      <c r="A947" s="52"/>
      <c r="B947" s="55"/>
      <c r="C947" s="1" t="s">
        <v>13</v>
      </c>
      <c r="D947" s="14"/>
    </row>
    <row r="948" spans="1:4" ht="15.75" thickBot="1">
      <c r="A948" s="52"/>
      <c r="B948" s="56"/>
      <c r="C948" s="2" t="s">
        <v>14</v>
      </c>
      <c r="D948" s="10" t="e">
        <f>D947/D946</f>
        <v>#DIV/0!</v>
      </c>
    </row>
    <row r="949" spans="1:4">
      <c r="A949" s="52"/>
      <c r="B949" s="57" t="s">
        <v>9</v>
      </c>
      <c r="C949" s="3" t="s">
        <v>12</v>
      </c>
      <c r="D949" s="11">
        <f>D928+D931+D934+D937+D940+D943+D946</f>
        <v>28804264</v>
      </c>
    </row>
    <row r="950" spans="1:4">
      <c r="A950" s="52"/>
      <c r="B950" s="58"/>
      <c r="C950" s="1" t="s">
        <v>13</v>
      </c>
      <c r="D950" s="14">
        <f>D929+D932+D935+D938+D941+D944+D947</f>
        <v>29182896</v>
      </c>
    </row>
    <row r="951" spans="1:4" ht="15.75" thickBot="1">
      <c r="A951" s="53"/>
      <c r="B951" s="59"/>
      <c r="C951" s="2" t="s">
        <v>14</v>
      </c>
      <c r="D951" s="46">
        <f>D950/D949</f>
        <v>1.0131449982544252</v>
      </c>
    </row>
    <row r="952" spans="1:4" ht="15.75" thickBot="1"/>
    <row r="953" spans="1:4" ht="15.75" thickBot="1">
      <c r="A953" s="4" t="s">
        <v>0</v>
      </c>
      <c r="B953" s="7" t="s">
        <v>10</v>
      </c>
      <c r="C953" s="5" t="s">
        <v>1</v>
      </c>
      <c r="D953" s="6" t="s">
        <v>11</v>
      </c>
    </row>
    <row r="954" spans="1:4">
      <c r="A954" s="51" t="s">
        <v>59</v>
      </c>
      <c r="B954" s="54" t="s">
        <v>2</v>
      </c>
      <c r="C954" s="3" t="s">
        <v>12</v>
      </c>
      <c r="D954" s="11">
        <v>59235179</v>
      </c>
    </row>
    <row r="955" spans="1:4">
      <c r="A955" s="52"/>
      <c r="B955" s="55"/>
      <c r="C955" s="1" t="s">
        <v>13</v>
      </c>
      <c r="D955" s="12">
        <v>60643662</v>
      </c>
    </row>
    <row r="956" spans="1:4" ht="15.75" thickBot="1">
      <c r="A956" s="52"/>
      <c r="B956" s="56"/>
      <c r="C956" s="2" t="s">
        <v>14</v>
      </c>
      <c r="D956" s="46">
        <f>D955/D954</f>
        <v>1.0237778128432768</v>
      </c>
    </row>
    <row r="957" spans="1:4">
      <c r="A957" s="52"/>
      <c r="B957" s="54" t="s">
        <v>3</v>
      </c>
      <c r="C957" s="3" t="s">
        <v>12</v>
      </c>
      <c r="D957" s="11">
        <v>14080972.5</v>
      </c>
    </row>
    <row r="958" spans="1:4">
      <c r="A958" s="52"/>
      <c r="B958" s="55"/>
      <c r="C958" s="1" t="s">
        <v>13</v>
      </c>
      <c r="D958" s="12">
        <v>14595240</v>
      </c>
    </row>
    <row r="959" spans="1:4" ht="15.75" thickBot="1">
      <c r="A959" s="52"/>
      <c r="B959" s="56"/>
      <c r="C959" s="2" t="s">
        <v>14</v>
      </c>
      <c r="D959" s="41">
        <f>D958/D957</f>
        <v>1.036522157826812</v>
      </c>
    </row>
    <row r="960" spans="1:4">
      <c r="A960" s="52"/>
      <c r="B960" s="54" t="s">
        <v>4</v>
      </c>
      <c r="C960" s="3" t="s">
        <v>12</v>
      </c>
      <c r="D960" s="11">
        <v>6858352.5</v>
      </c>
    </row>
    <row r="961" spans="1:4">
      <c r="A961" s="52"/>
      <c r="B961" s="55"/>
      <c r="C961" s="1" t="s">
        <v>13</v>
      </c>
      <c r="D961" s="12">
        <v>6931140</v>
      </c>
    </row>
    <row r="962" spans="1:4" ht="15.75" thickBot="1">
      <c r="A962" s="52"/>
      <c r="B962" s="56"/>
      <c r="C962" s="2" t="s">
        <v>14</v>
      </c>
      <c r="D962" s="46">
        <f>D961/D960</f>
        <v>1.0106129715554866</v>
      </c>
    </row>
    <row r="963" spans="1:4">
      <c r="A963" s="52"/>
      <c r="B963" s="54" t="s">
        <v>5</v>
      </c>
      <c r="C963" s="3" t="s">
        <v>12</v>
      </c>
      <c r="D963" s="13">
        <v>4850793</v>
      </c>
    </row>
    <row r="964" spans="1:4">
      <c r="A964" s="52"/>
      <c r="B964" s="55"/>
      <c r="C964" s="1" t="s">
        <v>13</v>
      </c>
      <c r="D964" s="14">
        <v>4800456</v>
      </c>
    </row>
    <row r="965" spans="1:4" ht="15.75" thickBot="1">
      <c r="A965" s="52"/>
      <c r="B965" s="56"/>
      <c r="C965" s="2" t="s">
        <v>14</v>
      </c>
      <c r="D965" s="49">
        <f>D964/D963</f>
        <v>0.989622933817213</v>
      </c>
    </row>
    <row r="966" spans="1:4">
      <c r="A966" s="52"/>
      <c r="B966" s="54" t="s">
        <v>6</v>
      </c>
      <c r="C966" s="3" t="s">
        <v>12</v>
      </c>
      <c r="D966" s="13">
        <v>9368496</v>
      </c>
    </row>
    <row r="967" spans="1:4">
      <c r="A967" s="52"/>
      <c r="B967" s="55"/>
      <c r="C967" s="1" t="s">
        <v>13</v>
      </c>
      <c r="D967" s="14">
        <v>9953970</v>
      </c>
    </row>
    <row r="968" spans="1:4" ht="15.75" thickBot="1">
      <c r="A968" s="52"/>
      <c r="B968" s="56"/>
      <c r="C968" s="2" t="s">
        <v>14</v>
      </c>
      <c r="D968" s="37">
        <f>D967/D966</f>
        <v>1.0624939157790108</v>
      </c>
    </row>
    <row r="969" spans="1:4">
      <c r="A969" s="52"/>
      <c r="B969" s="54" t="s">
        <v>7</v>
      </c>
      <c r="C969" s="3" t="s">
        <v>12</v>
      </c>
      <c r="D969" s="13">
        <v>0</v>
      </c>
    </row>
    <row r="970" spans="1:4">
      <c r="A970" s="52"/>
      <c r="B970" s="55"/>
      <c r="C970" s="1" t="s">
        <v>13</v>
      </c>
      <c r="D970" s="14">
        <v>0</v>
      </c>
    </row>
    <row r="971" spans="1:4" ht="15.75" thickBot="1">
      <c r="A971" s="52"/>
      <c r="B971" s="56"/>
      <c r="C971" s="2" t="s">
        <v>14</v>
      </c>
      <c r="D971" s="10" t="e">
        <f>D970/D969</f>
        <v>#DIV/0!</v>
      </c>
    </row>
    <row r="972" spans="1:4">
      <c r="A972" s="52"/>
      <c r="B972" s="54" t="s">
        <v>8</v>
      </c>
      <c r="C972" s="3" t="s">
        <v>12</v>
      </c>
      <c r="D972" s="13">
        <v>0</v>
      </c>
    </row>
    <row r="973" spans="1:4">
      <c r="A973" s="52"/>
      <c r="B973" s="55"/>
      <c r="C973" s="1" t="s">
        <v>13</v>
      </c>
      <c r="D973" s="14">
        <v>0</v>
      </c>
    </row>
    <row r="974" spans="1:4" ht="15.75" thickBot="1">
      <c r="A974" s="52"/>
      <c r="B974" s="56"/>
      <c r="C974" s="2" t="s">
        <v>14</v>
      </c>
      <c r="D974" s="10" t="e">
        <f>D973/D972</f>
        <v>#DIV/0!</v>
      </c>
    </row>
    <row r="975" spans="1:4">
      <c r="A975" s="52"/>
      <c r="B975" s="57" t="s">
        <v>9</v>
      </c>
      <c r="C975" s="3" t="s">
        <v>12</v>
      </c>
      <c r="D975" s="11">
        <f>D954+D957+D960+D963+D966+D969+D972</f>
        <v>94393793</v>
      </c>
    </row>
    <row r="976" spans="1:4">
      <c r="A976" s="52"/>
      <c r="B976" s="58"/>
      <c r="C976" s="1" t="s">
        <v>13</v>
      </c>
      <c r="D976" s="14">
        <f>D955+D958+D961+D964+D967+D970+D973</f>
        <v>96924468</v>
      </c>
    </row>
    <row r="977" spans="1:4" ht="15.75" thickBot="1">
      <c r="A977" s="53"/>
      <c r="B977" s="59"/>
      <c r="C977" s="2" t="s">
        <v>14</v>
      </c>
      <c r="D977" s="46">
        <f>D976/D975</f>
        <v>1.0268097606799209</v>
      </c>
    </row>
    <row r="978" spans="1:4" ht="15.75" thickBot="1"/>
    <row r="979" spans="1:4" ht="15.75" thickBot="1">
      <c r="A979" s="16" t="s">
        <v>0</v>
      </c>
      <c r="B979" s="17" t="s">
        <v>10</v>
      </c>
      <c r="C979" s="18" t="s">
        <v>1</v>
      </c>
      <c r="D979" s="6" t="s">
        <v>15</v>
      </c>
    </row>
    <row r="980" spans="1:4">
      <c r="A980" s="51" t="s">
        <v>60</v>
      </c>
      <c r="B980" s="54" t="s">
        <v>2</v>
      </c>
      <c r="C980" s="3" t="s">
        <v>12</v>
      </c>
      <c r="D980" s="42">
        <v>16853671.75</v>
      </c>
    </row>
    <row r="981" spans="1:4">
      <c r="A981" s="52"/>
      <c r="B981" s="55"/>
      <c r="C981" s="1" t="s">
        <v>13</v>
      </c>
      <c r="D981" s="43">
        <v>17147676</v>
      </c>
    </row>
    <row r="982" spans="1:4" ht="15.75" thickBot="1">
      <c r="A982" s="52"/>
      <c r="B982" s="56"/>
      <c r="C982" s="2" t="s">
        <v>20</v>
      </c>
      <c r="D982" s="50">
        <v>1.0174445221409987</v>
      </c>
    </row>
    <row r="983" spans="1:4">
      <c r="A983" s="52"/>
      <c r="B983" s="54" t="s">
        <v>3</v>
      </c>
      <c r="C983" s="3" t="s">
        <v>12</v>
      </c>
      <c r="D983" s="42">
        <v>1347530</v>
      </c>
    </row>
    <row r="984" spans="1:4">
      <c r="A984" s="52"/>
      <c r="B984" s="55"/>
      <c r="C984" s="1" t="s">
        <v>13</v>
      </c>
      <c r="D984" s="43">
        <v>1379220</v>
      </c>
    </row>
    <row r="985" spans="1:4" ht="15.75" thickBot="1">
      <c r="A985" s="52"/>
      <c r="B985" s="56"/>
      <c r="C985" s="2" t="s">
        <v>20</v>
      </c>
      <c r="D985" s="50">
        <v>1.0235171016600744</v>
      </c>
    </row>
    <row r="986" spans="1:4">
      <c r="A986" s="52"/>
      <c r="B986" s="54" t="s">
        <v>4</v>
      </c>
      <c r="C986" s="3" t="s">
        <v>12</v>
      </c>
      <c r="D986" s="42">
        <v>747135.75</v>
      </c>
    </row>
    <row r="987" spans="1:4">
      <c r="A987" s="52"/>
      <c r="B987" s="55"/>
      <c r="C987" s="1" t="s">
        <v>13</v>
      </c>
      <c r="D987" s="43">
        <v>749610</v>
      </c>
    </row>
    <row r="988" spans="1:4" ht="15.75" thickBot="1">
      <c r="A988" s="52"/>
      <c r="B988" s="56"/>
      <c r="C988" s="2" t="s">
        <v>20</v>
      </c>
      <c r="D988" s="50">
        <v>1.0033116471805827</v>
      </c>
    </row>
    <row r="989" spans="1:4">
      <c r="A989" s="52"/>
      <c r="B989" s="54" t="s">
        <v>5</v>
      </c>
      <c r="C989" s="3" t="s">
        <v>12</v>
      </c>
      <c r="D989" s="13">
        <v>607348.75</v>
      </c>
    </row>
    <row r="990" spans="1:4">
      <c r="A990" s="52"/>
      <c r="B990" s="55"/>
      <c r="C990" s="1" t="s">
        <v>13</v>
      </c>
      <c r="D990" s="14">
        <v>631596</v>
      </c>
    </row>
    <row r="991" spans="1:4" ht="15.75" thickBot="1">
      <c r="A991" s="52"/>
      <c r="B991" s="56"/>
      <c r="C991" s="2" t="s">
        <v>20</v>
      </c>
      <c r="D991" s="44">
        <v>1.0399231084282301</v>
      </c>
    </row>
    <row r="992" spans="1:4">
      <c r="A992" s="52"/>
      <c r="B992" s="54" t="s">
        <v>6</v>
      </c>
      <c r="C992" s="3" t="s">
        <v>12</v>
      </c>
      <c r="D992" s="13">
        <v>2841837.25</v>
      </c>
    </row>
    <row r="993" spans="1:4">
      <c r="A993" s="52"/>
      <c r="B993" s="55"/>
      <c r="C993" s="1" t="s">
        <v>13</v>
      </c>
      <c r="D993" s="14">
        <v>2029917</v>
      </c>
    </row>
    <row r="994" spans="1:4" ht="15.75" thickBot="1">
      <c r="A994" s="52"/>
      <c r="B994" s="56"/>
      <c r="C994" s="2" t="s">
        <v>20</v>
      </c>
      <c r="D994" s="50">
        <v>0.71429741446312589</v>
      </c>
    </row>
    <row r="995" spans="1:4">
      <c r="A995" s="52"/>
      <c r="B995" s="54"/>
      <c r="C995" s="3"/>
      <c r="D995" s="13"/>
    </row>
    <row r="996" spans="1:4">
      <c r="A996" s="52"/>
      <c r="B996" s="55"/>
      <c r="C996" s="1"/>
      <c r="D996" s="14"/>
    </row>
    <row r="997" spans="1:4" ht="15.75" thickBot="1">
      <c r="A997" s="52"/>
      <c r="B997" s="56"/>
      <c r="C997" s="2"/>
      <c r="D997" s="44"/>
    </row>
    <row r="998" spans="1:4">
      <c r="A998" s="52"/>
      <c r="B998" s="54"/>
      <c r="C998" s="3"/>
      <c r="D998" s="13"/>
    </row>
    <row r="999" spans="1:4">
      <c r="A999" s="52"/>
      <c r="B999" s="55"/>
      <c r="C999" s="1"/>
      <c r="D999" s="14"/>
    </row>
    <row r="1000" spans="1:4" ht="15.75" thickBot="1">
      <c r="A1000" s="52"/>
      <c r="B1000" s="56"/>
      <c r="C1000" s="2"/>
      <c r="D1000" s="44"/>
    </row>
    <row r="1001" spans="1:4">
      <c r="A1001" s="52"/>
      <c r="B1001" s="60" t="s">
        <v>9</v>
      </c>
      <c r="C1001" s="3" t="s">
        <v>12</v>
      </c>
      <c r="D1001" s="42">
        <v>22397523.5</v>
      </c>
    </row>
    <row r="1002" spans="1:4">
      <c r="A1002" s="52"/>
      <c r="B1002" s="61"/>
      <c r="C1002" s="1" t="s">
        <v>13</v>
      </c>
      <c r="D1002" s="14">
        <v>21938019</v>
      </c>
    </row>
    <row r="1003" spans="1:4" ht="15.75" thickBot="1">
      <c r="A1003" s="53"/>
      <c r="B1003" s="62"/>
      <c r="C1003" s="2" t="s">
        <v>20</v>
      </c>
      <c r="D1003" s="50">
        <v>0.9794841380566025</v>
      </c>
    </row>
  </sheetData>
  <mergeCells count="351">
    <mergeCell ref="A980:A1003"/>
    <mergeCell ref="B980:B982"/>
    <mergeCell ref="B983:B985"/>
    <mergeCell ref="B986:B988"/>
    <mergeCell ref="B989:B991"/>
    <mergeCell ref="B992:B994"/>
    <mergeCell ref="B995:B997"/>
    <mergeCell ref="B998:B1000"/>
    <mergeCell ref="B1001:B1003"/>
    <mergeCell ref="A954:A977"/>
    <mergeCell ref="B954:B956"/>
    <mergeCell ref="B957:B959"/>
    <mergeCell ref="B960:B962"/>
    <mergeCell ref="B963:B965"/>
    <mergeCell ref="B966:B968"/>
    <mergeCell ref="B969:B971"/>
    <mergeCell ref="B972:B974"/>
    <mergeCell ref="B975:B977"/>
    <mergeCell ref="A720:A743"/>
    <mergeCell ref="B720:B722"/>
    <mergeCell ref="B723:B725"/>
    <mergeCell ref="B726:B728"/>
    <mergeCell ref="B729:B731"/>
    <mergeCell ref="B732:B734"/>
    <mergeCell ref="B735:B737"/>
    <mergeCell ref="B738:B740"/>
    <mergeCell ref="B741:B743"/>
    <mergeCell ref="A694:A717"/>
    <mergeCell ref="B694:B696"/>
    <mergeCell ref="B697:B699"/>
    <mergeCell ref="B700:B702"/>
    <mergeCell ref="B703:B705"/>
    <mergeCell ref="B706:B708"/>
    <mergeCell ref="B709:B711"/>
    <mergeCell ref="B712:B714"/>
    <mergeCell ref="B715:B717"/>
    <mergeCell ref="A642:A665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A616:A639"/>
    <mergeCell ref="B616:B618"/>
    <mergeCell ref="B619:B621"/>
    <mergeCell ref="B622:B624"/>
    <mergeCell ref="B625:B627"/>
    <mergeCell ref="B628:B630"/>
    <mergeCell ref="B631:B633"/>
    <mergeCell ref="B634:B636"/>
    <mergeCell ref="B637:B639"/>
    <mergeCell ref="B585:B587"/>
    <mergeCell ref="B570:B572"/>
    <mergeCell ref="B573:B575"/>
    <mergeCell ref="B576:B578"/>
    <mergeCell ref="B579:B581"/>
    <mergeCell ref="B582:B584"/>
    <mergeCell ref="A555:A587"/>
    <mergeCell ref="B555:B557"/>
    <mergeCell ref="B558:B560"/>
    <mergeCell ref="B561:B563"/>
    <mergeCell ref="B564:B566"/>
    <mergeCell ref="B567:B569"/>
    <mergeCell ref="A529:A552"/>
    <mergeCell ref="B529:B531"/>
    <mergeCell ref="B532:B534"/>
    <mergeCell ref="B535:B537"/>
    <mergeCell ref="B538:B540"/>
    <mergeCell ref="B541:B543"/>
    <mergeCell ref="B544:B546"/>
    <mergeCell ref="B547:B549"/>
    <mergeCell ref="B550:B552"/>
    <mergeCell ref="A503:A526"/>
    <mergeCell ref="B503:B505"/>
    <mergeCell ref="B506:B508"/>
    <mergeCell ref="B509:B511"/>
    <mergeCell ref="B512:B514"/>
    <mergeCell ref="B515:B517"/>
    <mergeCell ref="B518:B520"/>
    <mergeCell ref="B521:B523"/>
    <mergeCell ref="B524:B526"/>
    <mergeCell ref="A477:A500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A451:A474"/>
    <mergeCell ref="B451:B453"/>
    <mergeCell ref="B454:B456"/>
    <mergeCell ref="B457:B459"/>
    <mergeCell ref="B460:B462"/>
    <mergeCell ref="B463:B465"/>
    <mergeCell ref="B466:B468"/>
    <mergeCell ref="B469:B471"/>
    <mergeCell ref="B472:B474"/>
    <mergeCell ref="A425:A448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A399:A422"/>
    <mergeCell ref="B399:B401"/>
    <mergeCell ref="B402:B404"/>
    <mergeCell ref="B405:B407"/>
    <mergeCell ref="B408:B410"/>
    <mergeCell ref="B411:B413"/>
    <mergeCell ref="B414:B416"/>
    <mergeCell ref="B417:B419"/>
    <mergeCell ref="B420:B422"/>
    <mergeCell ref="A373:A396"/>
    <mergeCell ref="B373:B375"/>
    <mergeCell ref="B376:B378"/>
    <mergeCell ref="B379:B381"/>
    <mergeCell ref="B382:B384"/>
    <mergeCell ref="B385:B387"/>
    <mergeCell ref="B388:B390"/>
    <mergeCell ref="B391:B393"/>
    <mergeCell ref="B394:B396"/>
    <mergeCell ref="A347:A370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A321:A344"/>
    <mergeCell ref="B321:B323"/>
    <mergeCell ref="B324:B326"/>
    <mergeCell ref="B327:B329"/>
    <mergeCell ref="B330:B332"/>
    <mergeCell ref="B333:B335"/>
    <mergeCell ref="B336:B338"/>
    <mergeCell ref="B339:B341"/>
    <mergeCell ref="B342:B344"/>
    <mergeCell ref="A295:A318"/>
    <mergeCell ref="B295:B297"/>
    <mergeCell ref="B298:B300"/>
    <mergeCell ref="B301:B303"/>
    <mergeCell ref="B304:B306"/>
    <mergeCell ref="B307:B309"/>
    <mergeCell ref="B310:B312"/>
    <mergeCell ref="B313:B315"/>
    <mergeCell ref="B316:B318"/>
    <mergeCell ref="A269:A292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A243:A266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A139:A162"/>
    <mergeCell ref="B139:B141"/>
    <mergeCell ref="B142:B144"/>
    <mergeCell ref="B145:B147"/>
    <mergeCell ref="B148:B150"/>
    <mergeCell ref="B151:B153"/>
    <mergeCell ref="B154:B156"/>
    <mergeCell ref="B157:B159"/>
    <mergeCell ref="B160:B162"/>
    <mergeCell ref="A113:A136"/>
    <mergeCell ref="B113:B115"/>
    <mergeCell ref="B116:B118"/>
    <mergeCell ref="B119:B121"/>
    <mergeCell ref="B122:B124"/>
    <mergeCell ref="B125:B127"/>
    <mergeCell ref="B128:B130"/>
    <mergeCell ref="B131:B133"/>
    <mergeCell ref="B134:B136"/>
    <mergeCell ref="A87:A110"/>
    <mergeCell ref="B87:B89"/>
    <mergeCell ref="B90:B92"/>
    <mergeCell ref="B93:B95"/>
    <mergeCell ref="B96:B98"/>
    <mergeCell ref="B99:B101"/>
    <mergeCell ref="B102:B104"/>
    <mergeCell ref="B105:B107"/>
    <mergeCell ref="B108:B110"/>
    <mergeCell ref="A61:A84"/>
    <mergeCell ref="B61:B63"/>
    <mergeCell ref="B64:B66"/>
    <mergeCell ref="B67:B69"/>
    <mergeCell ref="B70:B72"/>
    <mergeCell ref="B73:B75"/>
    <mergeCell ref="B76:B78"/>
    <mergeCell ref="B79:B81"/>
    <mergeCell ref="B82:B84"/>
    <mergeCell ref="A2:D2"/>
    <mergeCell ref="A3:D3"/>
    <mergeCell ref="B8:B10"/>
    <mergeCell ref="B11:B13"/>
    <mergeCell ref="B14:B16"/>
    <mergeCell ref="A8:A31"/>
    <mergeCell ref="B17:B19"/>
    <mergeCell ref="B29:B31"/>
    <mergeCell ref="B20:B22"/>
    <mergeCell ref="B23:B25"/>
    <mergeCell ref="B26:B28"/>
    <mergeCell ref="A4:D4"/>
    <mergeCell ref="A5:D5"/>
    <mergeCell ref="E26:F27"/>
    <mergeCell ref="A33:D33"/>
    <mergeCell ref="A35:A58"/>
    <mergeCell ref="B35:B37"/>
    <mergeCell ref="B38:B40"/>
    <mergeCell ref="B41:B43"/>
    <mergeCell ref="B44:B46"/>
    <mergeCell ref="B47:B49"/>
    <mergeCell ref="B50:B52"/>
    <mergeCell ref="B53:B55"/>
    <mergeCell ref="B56:B58"/>
    <mergeCell ref="A165:A188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A191:A214"/>
    <mergeCell ref="B191:B193"/>
    <mergeCell ref="B194:B196"/>
    <mergeCell ref="B197:B199"/>
    <mergeCell ref="B200:B202"/>
    <mergeCell ref="B203:B205"/>
    <mergeCell ref="B206:B208"/>
    <mergeCell ref="B209:B211"/>
    <mergeCell ref="B212:B214"/>
    <mergeCell ref="A217:A240"/>
    <mergeCell ref="B217:B219"/>
    <mergeCell ref="B220:B222"/>
    <mergeCell ref="B223:B225"/>
    <mergeCell ref="B226:B228"/>
    <mergeCell ref="B229:B231"/>
    <mergeCell ref="B232:B234"/>
    <mergeCell ref="B235:B237"/>
    <mergeCell ref="B238:B240"/>
    <mergeCell ref="A590:A613"/>
    <mergeCell ref="B590:B592"/>
    <mergeCell ref="B593:B595"/>
    <mergeCell ref="B596:B598"/>
    <mergeCell ref="B599:B601"/>
    <mergeCell ref="B602:B604"/>
    <mergeCell ref="B605:B607"/>
    <mergeCell ref="B608:B610"/>
    <mergeCell ref="B611:B613"/>
    <mergeCell ref="A668:A691"/>
    <mergeCell ref="B668:B670"/>
    <mergeCell ref="B671:B673"/>
    <mergeCell ref="B674:B676"/>
    <mergeCell ref="B677:B679"/>
    <mergeCell ref="B680:B682"/>
    <mergeCell ref="B683:B685"/>
    <mergeCell ref="B686:B688"/>
    <mergeCell ref="B689:B691"/>
    <mergeCell ref="A746:A769"/>
    <mergeCell ref="B746:B748"/>
    <mergeCell ref="B749:B751"/>
    <mergeCell ref="B752:B754"/>
    <mergeCell ref="B755:B757"/>
    <mergeCell ref="B758:B760"/>
    <mergeCell ref="B761:B763"/>
    <mergeCell ref="B764:B766"/>
    <mergeCell ref="B767:B769"/>
    <mergeCell ref="A772:A795"/>
    <mergeCell ref="B772:B774"/>
    <mergeCell ref="B775:B777"/>
    <mergeCell ref="B778:B780"/>
    <mergeCell ref="B781:B783"/>
    <mergeCell ref="B784:B786"/>
    <mergeCell ref="B787:B789"/>
    <mergeCell ref="B790:B792"/>
    <mergeCell ref="B793:B795"/>
    <mergeCell ref="A798:A821"/>
    <mergeCell ref="B798:B800"/>
    <mergeCell ref="B801:B803"/>
    <mergeCell ref="B804:B806"/>
    <mergeCell ref="B807:B809"/>
    <mergeCell ref="B810:B812"/>
    <mergeCell ref="B813:B815"/>
    <mergeCell ref="B816:B818"/>
    <mergeCell ref="B819:B821"/>
    <mergeCell ref="A824:A847"/>
    <mergeCell ref="B824:B826"/>
    <mergeCell ref="B827:B829"/>
    <mergeCell ref="B830:B832"/>
    <mergeCell ref="B833:B835"/>
    <mergeCell ref="B836:B838"/>
    <mergeCell ref="B839:B841"/>
    <mergeCell ref="B842:B844"/>
    <mergeCell ref="B845:B847"/>
    <mergeCell ref="A850:A873"/>
    <mergeCell ref="B850:B852"/>
    <mergeCell ref="B853:B855"/>
    <mergeCell ref="B856:B858"/>
    <mergeCell ref="B859:B861"/>
    <mergeCell ref="B862:B864"/>
    <mergeCell ref="B865:B867"/>
    <mergeCell ref="B868:B870"/>
    <mergeCell ref="B871:B873"/>
    <mergeCell ref="A876:A899"/>
    <mergeCell ref="B876:B878"/>
    <mergeCell ref="B879:B881"/>
    <mergeCell ref="B882:B884"/>
    <mergeCell ref="B885:B887"/>
    <mergeCell ref="B888:B890"/>
    <mergeCell ref="B891:B893"/>
    <mergeCell ref="B894:B896"/>
    <mergeCell ref="B897:B899"/>
    <mergeCell ref="A902:A925"/>
    <mergeCell ref="B902:B904"/>
    <mergeCell ref="B905:B907"/>
    <mergeCell ref="B908:B910"/>
    <mergeCell ref="B911:B913"/>
    <mergeCell ref="B914:B916"/>
    <mergeCell ref="B917:B919"/>
    <mergeCell ref="B920:B922"/>
    <mergeCell ref="B923:B925"/>
    <mergeCell ref="A928:A951"/>
    <mergeCell ref="B928:B930"/>
    <mergeCell ref="B931:B933"/>
    <mergeCell ref="B934:B936"/>
    <mergeCell ref="B937:B939"/>
    <mergeCell ref="B940:B942"/>
    <mergeCell ref="B943:B945"/>
    <mergeCell ref="B946:B948"/>
    <mergeCell ref="B949:B951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cp:lastPrinted>2015-05-18T10:30:01Z</cp:lastPrinted>
  <dcterms:created xsi:type="dcterms:W3CDTF">2015-02-26T11:12:09Z</dcterms:created>
  <dcterms:modified xsi:type="dcterms:W3CDTF">2015-05-19T09:42:09Z</dcterms:modified>
</cp:coreProperties>
</file>